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32" i="3" l="1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H32" i="2" l="1"/>
  <c r="V31" i="2" l="1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N96" i="2" l="1"/>
  <c r="M96" i="2"/>
  <c r="L96" i="2"/>
  <c r="K96" i="2"/>
  <c r="I96" i="2"/>
  <c r="H96" i="2"/>
  <c r="X36" i="3"/>
  <c r="W36" i="3"/>
  <c r="V36" i="3"/>
  <c r="U36" i="3"/>
  <c r="A36" i="3"/>
  <c r="Q31" i="2"/>
  <c r="Y36" i="3" s="1"/>
  <c r="O31" i="2"/>
  <c r="N32" i="2"/>
  <c r="M32" i="2"/>
  <c r="L32" i="2"/>
  <c r="K32" i="2"/>
  <c r="I32" i="2"/>
  <c r="P10" i="2"/>
  <c r="Q10" i="2" l="1"/>
  <c r="O10" i="2"/>
  <c r="X35" i="3"/>
  <c r="X34" i="3"/>
  <c r="X33" i="3"/>
  <c r="X29" i="3"/>
  <c r="U32" i="2"/>
  <c r="S32" i="2"/>
  <c r="T32" i="2" l="1"/>
  <c r="V32" i="2"/>
  <c r="AI32" i="2"/>
  <c r="AH32" i="2" l="1"/>
  <c r="AF32" i="2"/>
  <c r="AG32" i="2" l="1"/>
  <c r="W35" i="3"/>
  <c r="W34" i="3"/>
  <c r="W33" i="3"/>
  <c r="U35" i="3"/>
  <c r="U34" i="3"/>
  <c r="U33" i="3"/>
  <c r="N94" i="2"/>
  <c r="M94" i="2"/>
  <c r="L94" i="2"/>
  <c r="K94" i="2"/>
  <c r="I94" i="2"/>
  <c r="H94" i="2"/>
  <c r="Z30" i="2"/>
  <c r="AA30" i="2"/>
  <c r="Z29" i="2"/>
  <c r="AA29" i="2"/>
  <c r="Q29" i="2"/>
  <c r="Y34" i="3" s="1"/>
  <c r="Z28" i="2"/>
  <c r="AA28" i="2"/>
  <c r="V33" i="3"/>
  <c r="O29" i="2" l="1"/>
  <c r="O30" i="2"/>
  <c r="Q30" i="2"/>
  <c r="Y35" i="3" s="1"/>
  <c r="V34" i="3"/>
  <c r="O28" i="2"/>
  <c r="Q28" i="2"/>
  <c r="Y33" i="3" s="1"/>
  <c r="V35" i="3"/>
  <c r="H55" i="2" l="1"/>
  <c r="N91" i="2"/>
  <c r="M91" i="2"/>
  <c r="L91" i="2"/>
  <c r="K91" i="2"/>
  <c r="I91" i="2"/>
  <c r="H91" i="2"/>
  <c r="H98" i="2" l="1"/>
  <c r="H99" i="2" s="1"/>
  <c r="N98" i="2"/>
  <c r="M98" i="2"/>
  <c r="L98" i="2"/>
  <c r="K98" i="2"/>
  <c r="I98" i="2"/>
  <c r="AA31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Z31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W29" i="3" l="1"/>
  <c r="W28" i="3"/>
  <c r="W27" i="3"/>
  <c r="W26" i="3"/>
  <c r="W25" i="3"/>
  <c r="W23" i="3"/>
  <c r="W22" i="3"/>
  <c r="W21" i="3"/>
  <c r="W20" i="3"/>
  <c r="W19" i="3"/>
  <c r="W18" i="3"/>
  <c r="W16" i="3"/>
  <c r="W15" i="3"/>
  <c r="W14" i="3"/>
  <c r="W13" i="3"/>
  <c r="W12" i="3"/>
  <c r="W11" i="3"/>
  <c r="W10" i="3"/>
  <c r="U29" i="3"/>
  <c r="U28" i="3"/>
  <c r="U27" i="3"/>
  <c r="U26" i="3"/>
  <c r="U25" i="3"/>
  <c r="U23" i="3"/>
  <c r="U22" i="3"/>
  <c r="U21" i="3"/>
  <c r="U20" i="3"/>
  <c r="U19" i="3"/>
  <c r="U18" i="3"/>
  <c r="U16" i="3"/>
  <c r="U15" i="3"/>
  <c r="U14" i="3"/>
  <c r="U13" i="3"/>
  <c r="U12" i="3"/>
  <c r="U11" i="3"/>
  <c r="U10" i="3"/>
  <c r="U37" i="3" l="1"/>
  <c r="W37" i="3"/>
  <c r="N57" i="2"/>
  <c r="M57" i="2"/>
  <c r="L57" i="2"/>
  <c r="K57" i="2"/>
  <c r="I57" i="2"/>
  <c r="H57" i="2"/>
  <c r="N55" i="2"/>
  <c r="M55" i="2"/>
  <c r="L55" i="2"/>
  <c r="K55" i="2"/>
  <c r="I55" i="2"/>
  <c r="AC32" i="2"/>
  <c r="AB32" i="2"/>
  <c r="AA32" i="2"/>
  <c r="Z32" i="2"/>
  <c r="P16" i="2" l="1"/>
  <c r="X16" i="3" s="1"/>
  <c r="V16" i="3"/>
  <c r="N99" i="2"/>
  <c r="K99" i="2"/>
  <c r="I99" i="2"/>
  <c r="P26" i="2"/>
  <c r="X28" i="3" s="1"/>
  <c r="P25" i="2"/>
  <c r="X27" i="3" s="1"/>
  <c r="P24" i="2"/>
  <c r="X26" i="3" s="1"/>
  <c r="P23" i="2"/>
  <c r="X25" i="3" s="1"/>
  <c r="L99" i="2" l="1"/>
  <c r="Q26" i="2"/>
  <c r="Y28" i="3" s="1"/>
  <c r="V28" i="3"/>
  <c r="Q25" i="2"/>
  <c r="Y27" i="3" s="1"/>
  <c r="V27" i="3"/>
  <c r="Q24" i="2"/>
  <c r="Y26" i="3" s="1"/>
  <c r="V26" i="3"/>
  <c r="Q23" i="2"/>
  <c r="Y25" i="3" s="1"/>
  <c r="V25" i="3"/>
  <c r="O16" i="2"/>
  <c r="Q16" i="2"/>
  <c r="Y16" i="3" s="1"/>
  <c r="M99" i="2"/>
  <c r="O23" i="2"/>
  <c r="O25" i="2"/>
  <c r="O24" i="2"/>
  <c r="O26" i="2"/>
  <c r="V23" i="3"/>
  <c r="V22" i="3"/>
  <c r="V21" i="3"/>
  <c r="V20" i="3"/>
  <c r="V19" i="3"/>
  <c r="V18" i="3"/>
  <c r="V15" i="3"/>
  <c r="V11" i="3" l="1"/>
  <c r="J32" i="2"/>
  <c r="J96" i="2"/>
  <c r="V29" i="3"/>
  <c r="Q27" i="2"/>
  <c r="Y29" i="3" s="1"/>
  <c r="J94" i="2"/>
  <c r="V14" i="3"/>
  <c r="V13" i="3"/>
  <c r="J91" i="2"/>
  <c r="V12" i="3"/>
  <c r="J57" i="2"/>
  <c r="V10" i="3"/>
  <c r="J55" i="2"/>
  <c r="X10" i="3"/>
  <c r="P11" i="2"/>
  <c r="X11" i="3" s="1"/>
  <c r="P12" i="2"/>
  <c r="X12" i="3" s="1"/>
  <c r="P13" i="2"/>
  <c r="X13" i="3" s="1"/>
  <c r="P14" i="2"/>
  <c r="X14" i="3" s="1"/>
  <c r="P15" i="2"/>
  <c r="X15" i="3" s="1"/>
  <c r="P17" i="2"/>
  <c r="X18" i="3" s="1"/>
  <c r="P18" i="2"/>
  <c r="X19" i="3" s="1"/>
  <c r="P19" i="2"/>
  <c r="X20" i="3" s="1"/>
  <c r="P20" i="2"/>
  <c r="X21" i="3" s="1"/>
  <c r="P21" i="2"/>
  <c r="X22" i="3" s="1"/>
  <c r="P22" i="2"/>
  <c r="X23" i="3" s="1"/>
  <c r="Y32" i="2"/>
  <c r="X32" i="2"/>
  <c r="W32" i="2"/>
  <c r="O27" i="2"/>
  <c r="V37" i="3" l="1"/>
  <c r="J98" i="2"/>
  <c r="J99" i="2" s="1"/>
  <c r="H63" i="2" l="1"/>
  <c r="N53" i="2" l="1"/>
  <c r="N59" i="2" s="1"/>
  <c r="M53" i="2"/>
  <c r="M59" i="2" s="1"/>
  <c r="L53" i="2"/>
  <c r="L59" i="2" s="1"/>
  <c r="K53" i="2"/>
  <c r="K59" i="2" s="1"/>
  <c r="I53" i="2"/>
  <c r="I59" i="2" s="1"/>
  <c r="H53" i="2"/>
  <c r="H59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N47" i="2"/>
  <c r="M47" i="2"/>
  <c r="L47" i="2"/>
  <c r="K47" i="2"/>
  <c r="I47" i="2"/>
  <c r="H47" i="2"/>
  <c r="N45" i="2"/>
  <c r="M45" i="2"/>
  <c r="L45" i="2"/>
  <c r="K45" i="2"/>
  <c r="I45" i="2"/>
  <c r="H45" i="2"/>
  <c r="N43" i="2"/>
  <c r="M43" i="2"/>
  <c r="L43" i="2"/>
  <c r="K43" i="2"/>
  <c r="I43" i="2"/>
  <c r="H43" i="2"/>
  <c r="H49" i="2" l="1"/>
  <c r="J10" i="6"/>
  <c r="J24" i="6" s="1"/>
  <c r="E24" i="6"/>
  <c r="M49" i="2"/>
  <c r="I49" i="2"/>
  <c r="N49" i="2"/>
  <c r="L49" i="2"/>
  <c r="K49" i="2"/>
  <c r="N60" i="2"/>
  <c r="M60" i="2"/>
  <c r="L60" i="2"/>
  <c r="K60" i="2"/>
  <c r="I60" i="2"/>
  <c r="H60" i="2"/>
  <c r="O12" i="2" l="1"/>
  <c r="Q12" i="2"/>
  <c r="Y12" i="3" s="1"/>
  <c r="O14" i="2"/>
  <c r="Q14" i="2"/>
  <c r="Y14" i="3" s="1"/>
  <c r="O17" i="2"/>
  <c r="Q17" i="2"/>
  <c r="Y18" i="3" s="1"/>
  <c r="O19" i="2"/>
  <c r="Q19" i="2"/>
  <c r="Y20" i="3" s="1"/>
  <c r="O21" i="2"/>
  <c r="Q21" i="2"/>
  <c r="Y22" i="3" s="1"/>
  <c r="Y10" i="3"/>
  <c r="O11" i="2"/>
  <c r="Q11" i="2"/>
  <c r="Y11" i="3" s="1"/>
  <c r="O13" i="2"/>
  <c r="O91" i="2" s="1"/>
  <c r="Q13" i="2"/>
  <c r="Y13" i="3" s="1"/>
  <c r="O15" i="2"/>
  <c r="Q15" i="2"/>
  <c r="Y15" i="3" s="1"/>
  <c r="O18" i="2"/>
  <c r="Q18" i="2"/>
  <c r="Y19" i="3" s="1"/>
  <c r="O20" i="2"/>
  <c r="Q20" i="2"/>
  <c r="Y21" i="3" s="1"/>
  <c r="O22" i="2"/>
  <c r="Q22" i="2"/>
  <c r="Y23" i="3" s="1"/>
  <c r="J53" i="2"/>
  <c r="J47" i="2"/>
  <c r="J45" i="2"/>
  <c r="J43" i="2"/>
  <c r="O32" i="2" l="1"/>
  <c r="O96" i="2"/>
  <c r="O94" i="2"/>
  <c r="O55" i="2"/>
  <c r="O57" i="2"/>
  <c r="O43" i="2"/>
  <c r="J59" i="2"/>
  <c r="J60" i="2" s="1"/>
  <c r="O45" i="2"/>
  <c r="O53" i="2"/>
  <c r="O47" i="2"/>
  <c r="J49" i="2"/>
  <c r="L13" i="1"/>
  <c r="L12" i="1"/>
  <c r="L11" i="1" s="1"/>
  <c r="K11" i="1"/>
  <c r="J11" i="1"/>
  <c r="I11" i="1"/>
  <c r="H11" i="1"/>
  <c r="G11" i="1"/>
  <c r="F11" i="1"/>
  <c r="E11" i="1"/>
  <c r="O98" i="2" l="1"/>
  <c r="O99" i="2" s="1"/>
  <c r="O49" i="2"/>
  <c r="O59" i="2"/>
  <c r="O60" i="2" l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<sst xmlns="http://schemas.openxmlformats.org/spreadsheetml/2006/main" count="557" uniqueCount="230">
  <si>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</si>
  <si>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</si>
  <si>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</si>
  <si>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</si>
  <si>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</si>
  <si>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</si>
  <si>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</si>
  <si>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</si>
  <si>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</si>
  <si>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</si>
  <si>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</si>
  <si>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</si>
  <si>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</si>
  <si>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</si>
  <si>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</si>
  <si>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</si>
  <si>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</si>
  <si>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</si>
  <si>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</si>
  <si>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</si>
  <si>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</si>
  <si>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</si>
  <si>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</si>
  <si>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</si>
  <si>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</si>
  <si>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</si>
  <si>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</si>
  <si>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</si>
  <si>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</si>
  <si>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</si>
  <si>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</si>
  <si>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</si>
  <si>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</si>
  <si>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</si>
  <si>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</si>
  <si>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</si>
  <si>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</si>
  <si>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</si>
  <si>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</si>
  <si>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</si>
  <si>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</si>
  <si>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</si>
  <si>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</si>
  <si>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</si>
  <si>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</si>
  <si>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</si>
  <si>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</si>
  <si>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</si>
  <si>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</si>
  <si>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</si>
  <si>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</si>
  <si>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</si>
  <si>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</si>
  <si>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</si>
  <si>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</si>
  <si>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</si>
  <si>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</si>
  <si>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</si>
  <si>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</si>
  <si>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</si>
  <si>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</si>
  <si>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</si>
  <si>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</si>
  <si>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</si>
  <si>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</si>
  <si>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</si>
  <si>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</si>
  <si>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</si>
  <si>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</si>
  <si>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</si>
  <si>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</si>
  <si>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</si>
  <si>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</si>
  <si>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</si>
  <si>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</si>
  <si>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</si>
  <si>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</si>
  <si>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</si>
  <si>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</si>
  <si>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</si>
  <si>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</si>
  <si>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</si>
  <si>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</si>
  <si>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</si>
  <si>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</si>
  <si>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</si>
  <si>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</si>
  <si>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</si>
  <si>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</si>
  <si>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</si>
  <si>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</si>
  <si>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</si>
  <si>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</si>
  <si>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</si>
  <si>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</si>
  <si>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</si>
  <si>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</si>
  <si>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</si>
  <si>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</si>
  <si>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</si>
  <si>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</si>
  <si>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</si>
  <si>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</si>
  <si>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</si>
  <si>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</si>
  <si>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</si>
  <si>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</si>
  <si>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</si>
  <si>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</si>
  <si>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</si>
  <si>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</si>
  <si>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</si>
  <si>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</si>
  <si>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</si>
  <si>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</si>
  <si>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</si>
  <si>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</si>
  <si>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</si>
  <si>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</si>
  <si>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</si>
  <si>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</si>
  <si>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</si>
  <si>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</si>
  <si>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P2748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</si>
  <si>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</si>
  <si>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</si>
  <si>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</si>
  <si>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</si>
  <si>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</si>
  <si>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</si>
  <si>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</si>
  <si>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</si>
  <si>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</si>
  <si>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</si>
  <si>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</si>
  <si>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</si>
  <si>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</si>
  <si>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</si>
  <si>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</si>
  <si>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</si>
  <si>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</si>
  <si>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P0439.0001</t>
  </si>
  <si>
    <t>P0439.0002</t>
  </si>
  <si>
    <t>P0445.0001</t>
  </si>
  <si>
    <t xml:space="preserve"> F. FACILITADORES  VIR.</t>
  </si>
  <si>
    <t>P2437.0001</t>
  </si>
  <si>
    <t>Del 1 de Enero al 31 de Diciembre de 2017</t>
  </si>
  <si>
    <t>Del 1 de Enero al 31 de Diciembre  de 2017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</si>
  <si>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</si>
  <si>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</si>
  <si>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</si>
  <si>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</si>
  <si>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</si>
  <si>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</si>
  <si>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</si>
  <si>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</si>
  <si>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</si>
  <si>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</si>
  <si>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</si>
  <si>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</si>
  <si>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</si>
  <si>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</si>
  <si>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</si>
  <si>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</si>
  <si>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</si>
  <si>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</si>
  <si>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</si>
  <si>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</si>
  <si>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</si>
  <si>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</si>
  <si>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</si>
  <si>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</si>
  <si>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</si>
  <si>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</si>
  <si>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</si>
  <si>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</si>
  <si>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</si>
  <si>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</si>
  <si>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</si>
  <si>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</si>
  <si>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</si>
  <si>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</si>
  <si>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</si>
  <si>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</si>
  <si>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Eficacia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</si>
  <si>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</si>
  <si>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</si>
  <si>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</si>
  <si>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</si>
  <si>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</si>
  <si>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</si>
  <si>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</si>
  <si>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</si>
  <si>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</si>
  <si>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</si>
  <si>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</si>
  <si>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</si>
  <si>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15</t>
  </si>
  <si>
    <t>02.18</t>
  </si>
  <si>
    <t>02.05.16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</si>
  <si>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</si>
  <si>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</si>
  <si>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</si>
  <si>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</si>
  <si>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</si>
  <si>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17</t>
  </si>
  <si>
    <t>02.20</t>
  </si>
  <si>
    <t>02.05.18</t>
  </si>
  <si>
    <t>18</t>
  </si>
  <si>
    <t>02.21</t>
  </si>
  <si>
    <t>02.05.19</t>
  </si>
  <si>
    <t>Porcentaje de alumnos atendidos en programas de disciplinas emergentes o áreas estratégicas</t>
  </si>
  <si>
    <t>(Alumnos atendidos en programas de disciplinas emergentes o áreas estratégicas/lumnos programados a ser atendidos en programas de disciplinas emergentes o áreas )*100</t>
  </si>
  <si>
    <t>19</t>
  </si>
  <si>
    <t>02.22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</si>
  <si>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</si>
  <si>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</si>
  <si>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</si>
  <si>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</si>
  <si>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</si>
  <si>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</si>
  <si>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</si>
  <si>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</si>
  <si>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</si>
  <si>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</si>
  <si>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Construcción de la segunda etapa de la ampliación del edificio de biblioteca en la UTL (Refrendo)</t>
  </si>
  <si>
    <t>Segunda Etapa de ampliación concluida</t>
  </si>
  <si>
    <t>Proyecto ejecutivo para la construcción de la 1a Etapa de la unicad de docencia dos niveles. Cierre Administrativo.</t>
  </si>
  <si>
    <t>Proyecto</t>
  </si>
  <si>
    <t>Proyecto 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</si>
</sst>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84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0" fontId="3" fillId="0" borderId="7" xfId="0" applyFont="1" applyBorder="1"/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2" fillId="2" borderId="15" xfId="3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9" fontId="3" fillId="0" borderId="15" xfId="0" applyNumberFormat="1" applyFont="1" applyFill="1" applyBorder="1"/>
    <xf numFmtId="9" fontId="3" fillId="0" borderId="10" xfId="0" applyNumberFormat="1" applyFont="1" applyFill="1" applyBorder="1"/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12" xfId="0" applyFont="1" applyBorder="1"/>
    <xf numFmtId="0" fontId="5" fillId="0" borderId="13" xfId="0" applyFont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4" fontId="0" fillId="0" borderId="10" xfId="0" applyNumberFormat="1" applyBorder="1"/>
    <xf numFmtId="4" fontId="0" fillId="0" borderId="15" xfId="0" applyNumberFormat="1" applyBorder="1"/>
    <xf numFmtId="9" fontId="3" fillId="0" borderId="15" xfId="0" applyNumberFormat="1" applyFont="1" applyBorder="1"/>
    <xf numFmtId="9" fontId="3" fillId="0" borderId="10" xfId="0" applyNumberFormat="1" applyFon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3" fillId="0" borderId="0" xfId="0" applyNumberFormat="1" applyFont="1" applyFill="1" applyBorder="1"/>
    <xf numFmtId="0" fontId="5" fillId="0" borderId="14" xfId="0" applyFont="1" applyBorder="1"/>
    <xf numFmtId="4" fontId="3" fillId="0" borderId="11" xfId="0" applyNumberFormat="1" applyFont="1" applyFill="1" applyBorder="1"/>
    <xf numFmtId="9" fontId="3" fillId="0" borderId="6" xfId="0" applyNumberFormat="1" applyFont="1" applyBorder="1"/>
    <xf numFmtId="9" fontId="3" fillId="0" borderId="7" xfId="0" applyNumberFormat="1" applyFont="1" applyFill="1" applyBorder="1"/>
    <xf numFmtId="0" fontId="5" fillId="3" borderId="8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/>
    <xf numFmtId="4" fontId="3" fillId="0" borderId="15" xfId="0" applyNumberFormat="1" applyFont="1" applyFill="1" applyBorder="1"/>
    <xf numFmtId="4" fontId="3" fillId="3" borderId="6" xfId="0" applyNumberFormat="1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0" borderId="10" xfId="2" applyNumberFormat="1" applyFont="1" applyFill="1" applyBorder="1"/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O48"/>
  <sheetViews>
    <sheetView showGridLines="0" tabSelected="1" zoomScale="85" zoomScaleNormal="85" workbookViewId="0">
      <selection activeCell="F23" sqref="F2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3" width="3.140625" style="1" customWidth="1"/>
    <col min="14" max="15" width="12.7109375" style="15" bestFit="1" customWidth="1"/>
    <col min="16" max="16384" width="11.42578125" style="15"/>
  </cols>
  <sheetData>
    <row r="1" spans="2:15" ht="6" customHeight="1" x14ac:dyDescent="0.2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2:15" ht="13.5" customHeight="1" x14ac:dyDescent="0.2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15" ht="20.25" customHeight="1" x14ac:dyDescent="0.2">
      <c r="B3" s="135" t="s">
        <v>146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1" customFormat="1" ht="24" customHeight="1" x14ac:dyDescent="0.2">
      <c r="D5" s="3" t="s">
        <v>1</v>
      </c>
      <c r="E5" s="136" t="s">
        <v>86</v>
      </c>
      <c r="F5" s="136"/>
      <c r="G5" s="4"/>
      <c r="H5" s="4"/>
      <c r="I5" s="5"/>
      <c r="J5" s="5"/>
      <c r="K5" s="6"/>
      <c r="L5" s="2"/>
    </row>
    <row r="6" spans="2:1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5" x14ac:dyDescent="0.2">
      <c r="B7" s="137" t="s">
        <v>2</v>
      </c>
      <c r="C7" s="138"/>
      <c r="D7" s="139"/>
      <c r="E7" s="146" t="s">
        <v>3</v>
      </c>
      <c r="F7" s="146"/>
      <c r="G7" s="146"/>
      <c r="H7" s="146"/>
      <c r="I7" s="146"/>
      <c r="J7" s="146"/>
      <c r="K7" s="146"/>
      <c r="L7" s="146" t="s">
        <v>4</v>
      </c>
    </row>
    <row r="8" spans="2:15" ht="25.5" x14ac:dyDescent="0.2">
      <c r="B8" s="140"/>
      <c r="C8" s="141"/>
      <c r="D8" s="142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6"/>
    </row>
    <row r="9" spans="2:15" ht="15.75" customHeight="1" x14ac:dyDescent="0.2">
      <c r="B9" s="143"/>
      <c r="C9" s="144"/>
      <c r="D9" s="145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5" ht="15" customHeight="1" x14ac:dyDescent="0.2">
      <c r="B10" s="147" t="s">
        <v>14</v>
      </c>
      <c r="C10" s="148"/>
      <c r="D10" s="149"/>
      <c r="E10" s="40"/>
      <c r="F10" s="75"/>
      <c r="G10" s="40"/>
      <c r="H10" s="75"/>
      <c r="I10" s="40"/>
      <c r="J10" s="75"/>
      <c r="K10" s="40"/>
      <c r="L10" s="75"/>
    </row>
    <row r="11" spans="2:15" x14ac:dyDescent="0.2">
      <c r="B11" s="10"/>
      <c r="C11" s="133" t="s">
        <v>15</v>
      </c>
      <c r="D11" s="134"/>
      <c r="E11" s="34">
        <f>SUM(E12:E13)</f>
        <v>0</v>
      </c>
      <c r="F11" s="76">
        <f t="shared" ref="F11:K11" si="0">SUM(F12:F13)</f>
        <v>0</v>
      </c>
      <c r="G11" s="34">
        <f t="shared" si="0"/>
        <v>0</v>
      </c>
      <c r="H11" s="76">
        <f t="shared" si="0"/>
        <v>0</v>
      </c>
      <c r="I11" s="34">
        <f t="shared" si="0"/>
        <v>0</v>
      </c>
      <c r="J11" s="76">
        <f t="shared" si="0"/>
        <v>0</v>
      </c>
      <c r="K11" s="34">
        <f t="shared" si="0"/>
        <v>0</v>
      </c>
      <c r="L11" s="76">
        <f>SUM(L12:L13)</f>
        <v>0</v>
      </c>
    </row>
    <row r="12" spans="2:15" x14ac:dyDescent="0.2">
      <c r="B12" s="10"/>
      <c r="C12" s="11"/>
      <c r="D12" s="12" t="s">
        <v>16</v>
      </c>
      <c r="E12" s="38"/>
      <c r="F12" s="13"/>
      <c r="G12" s="39"/>
      <c r="H12" s="13"/>
      <c r="I12" s="39"/>
      <c r="J12" s="13"/>
      <c r="K12" s="39"/>
      <c r="L12" s="13">
        <f>+G12-I12</f>
        <v>0</v>
      </c>
    </row>
    <row r="13" spans="2:15" x14ac:dyDescent="0.2">
      <c r="B13" s="10"/>
      <c r="C13" s="11"/>
      <c r="D13" s="12" t="s">
        <v>17</v>
      </c>
      <c r="E13" s="40"/>
      <c r="F13" s="9"/>
      <c r="G13" s="40"/>
      <c r="H13" s="9"/>
      <c r="I13" s="40"/>
      <c r="J13" s="9"/>
      <c r="K13" s="40"/>
      <c r="L13" s="9">
        <f t="shared" ref="L13:L39" si="1">+G13-I13</f>
        <v>0</v>
      </c>
    </row>
    <row r="14" spans="2:15" x14ac:dyDescent="0.2">
      <c r="B14" s="10"/>
      <c r="C14" s="133" t="s">
        <v>18</v>
      </c>
      <c r="D14" s="134"/>
      <c r="E14" s="72">
        <v>126690273.82000002</v>
      </c>
      <c r="F14" s="46">
        <v>109278706.40000001</v>
      </c>
      <c r="G14" s="72">
        <v>235968980.21999997</v>
      </c>
      <c r="H14" s="46">
        <v>218851835.31999999</v>
      </c>
      <c r="I14" s="72">
        <v>218851835.31999999</v>
      </c>
      <c r="J14" s="46">
        <v>218851835.31999999</v>
      </c>
      <c r="K14" s="72">
        <v>213913041.16999999</v>
      </c>
      <c r="L14" s="46">
        <v>17117144.899999999</v>
      </c>
    </row>
    <row r="15" spans="2:15" ht="15" x14ac:dyDescent="0.25">
      <c r="B15" s="10"/>
      <c r="C15" s="11"/>
      <c r="D15" s="47" t="s">
        <v>19</v>
      </c>
      <c r="E15" s="71">
        <v>70500908.960000008</v>
      </c>
      <c r="F15" s="77">
        <v>88950217.25</v>
      </c>
      <c r="G15" s="71">
        <v>159451126.20999998</v>
      </c>
      <c r="H15" s="77">
        <v>150132659.57999998</v>
      </c>
      <c r="I15" s="71">
        <v>150132659.57999998</v>
      </c>
      <c r="J15" s="77">
        <v>150132659.57999998</v>
      </c>
      <c r="K15" s="71">
        <v>147772877.14999998</v>
      </c>
      <c r="L15" s="77">
        <v>9318466.6299999971</v>
      </c>
      <c r="N15" s="57"/>
      <c r="O15" s="57"/>
    </row>
    <row r="16" spans="2:15" x14ac:dyDescent="0.2">
      <c r="B16" s="10"/>
      <c r="C16" s="11"/>
      <c r="D16" s="12" t="s">
        <v>20</v>
      </c>
      <c r="E16" s="49"/>
      <c r="F16" s="45"/>
      <c r="G16" s="49"/>
      <c r="H16" s="45"/>
      <c r="I16" s="49"/>
      <c r="J16" s="45"/>
      <c r="K16" s="49"/>
      <c r="L16" s="45">
        <v>0</v>
      </c>
    </row>
    <row r="17" spans="2:12" x14ac:dyDescent="0.2">
      <c r="B17" s="10"/>
      <c r="C17" s="11"/>
      <c r="D17" s="12" t="s">
        <v>21</v>
      </c>
      <c r="E17" s="49">
        <v>56189364.860000007</v>
      </c>
      <c r="F17" s="45">
        <v>20328489.150000002</v>
      </c>
      <c r="G17" s="49">
        <v>76517854.010000005</v>
      </c>
      <c r="H17" s="45">
        <v>68719175.74000001</v>
      </c>
      <c r="I17" s="49">
        <v>68719175.74000001</v>
      </c>
      <c r="J17" s="45">
        <v>68719175.74000001</v>
      </c>
      <c r="K17" s="49">
        <v>66140164.020000003</v>
      </c>
      <c r="L17" s="45">
        <v>7798678.2699999996</v>
      </c>
    </row>
    <row r="18" spans="2:12" x14ac:dyDescent="0.2">
      <c r="B18" s="10"/>
      <c r="C18" s="11"/>
      <c r="D18" s="12" t="s">
        <v>22</v>
      </c>
      <c r="E18" s="49"/>
      <c r="F18" s="45"/>
      <c r="G18" s="49"/>
      <c r="H18" s="45"/>
      <c r="I18" s="49"/>
      <c r="J18" s="45"/>
      <c r="K18" s="49"/>
      <c r="L18" s="45">
        <v>0</v>
      </c>
    </row>
    <row r="19" spans="2:12" x14ac:dyDescent="0.2">
      <c r="B19" s="10"/>
      <c r="C19" s="11"/>
      <c r="D19" s="12" t="s">
        <v>23</v>
      </c>
      <c r="E19" s="49"/>
      <c r="F19" s="45"/>
      <c r="G19" s="49"/>
      <c r="H19" s="45"/>
      <c r="I19" s="49"/>
      <c r="J19" s="45"/>
      <c r="K19" s="49"/>
      <c r="L19" s="45">
        <v>0</v>
      </c>
    </row>
    <row r="20" spans="2:12" x14ac:dyDescent="0.2">
      <c r="B20" s="10"/>
      <c r="C20" s="11"/>
      <c r="D20" s="12" t="s">
        <v>24</v>
      </c>
      <c r="E20" s="49"/>
      <c r="F20" s="45"/>
      <c r="G20" s="49"/>
      <c r="H20" s="45"/>
      <c r="I20" s="49"/>
      <c r="J20" s="45"/>
      <c r="K20" s="49"/>
      <c r="L20" s="45">
        <v>0</v>
      </c>
    </row>
    <row r="21" spans="2:12" x14ac:dyDescent="0.2">
      <c r="B21" s="10"/>
      <c r="C21" s="11"/>
      <c r="D21" s="12" t="s">
        <v>25</v>
      </c>
      <c r="E21" s="49"/>
      <c r="F21" s="45"/>
      <c r="G21" s="49"/>
      <c r="H21" s="45"/>
      <c r="I21" s="49"/>
      <c r="J21" s="45"/>
      <c r="K21" s="49"/>
      <c r="L21" s="45">
        <v>0</v>
      </c>
    </row>
    <row r="22" spans="2:12" s="66" customFormat="1" x14ac:dyDescent="0.2">
      <c r="B22" s="61"/>
      <c r="C22" s="62"/>
      <c r="D22" s="47" t="s">
        <v>26</v>
      </c>
      <c r="E22" s="73"/>
      <c r="F22" s="64"/>
      <c r="G22" s="73"/>
      <c r="H22" s="64"/>
      <c r="I22" s="73"/>
      <c r="J22" s="64"/>
      <c r="K22" s="73"/>
      <c r="L22" s="64"/>
    </row>
    <row r="23" spans="2:12" x14ac:dyDescent="0.2">
      <c r="B23" s="10"/>
      <c r="C23" s="133" t="s">
        <v>27</v>
      </c>
      <c r="D23" s="134"/>
      <c r="E23" s="72">
        <v>2272862.88</v>
      </c>
      <c r="F23" s="46">
        <v>2915024.91</v>
      </c>
      <c r="G23" s="72">
        <v>5187887.79</v>
      </c>
      <c r="H23" s="46">
        <v>5179059.2</v>
      </c>
      <c r="I23" s="72">
        <v>5179059.2</v>
      </c>
      <c r="J23" s="46">
        <v>5179059.2</v>
      </c>
      <c r="K23" s="72">
        <v>5177391.7</v>
      </c>
      <c r="L23" s="46">
        <v>8828.589999999851</v>
      </c>
    </row>
    <row r="24" spans="2:12" x14ac:dyDescent="0.2">
      <c r="B24" s="10"/>
      <c r="C24" s="11"/>
      <c r="D24" s="12" t="s">
        <v>28</v>
      </c>
      <c r="E24" s="73">
        <v>2272862.88</v>
      </c>
      <c r="F24" s="64">
        <v>2915024.91</v>
      </c>
      <c r="G24" s="73">
        <v>5187887.79</v>
      </c>
      <c r="H24" s="64">
        <v>5179059.2</v>
      </c>
      <c r="I24" s="73">
        <v>5179059.2</v>
      </c>
      <c r="J24" s="64">
        <v>5179059.2</v>
      </c>
      <c r="K24" s="73">
        <v>5177391.7</v>
      </c>
      <c r="L24" s="64">
        <v>8828.589999999851</v>
      </c>
    </row>
    <row r="25" spans="2:12" x14ac:dyDescent="0.2">
      <c r="B25" s="10"/>
      <c r="C25" s="11"/>
      <c r="D25" s="12" t="s">
        <v>29</v>
      </c>
      <c r="E25" s="40"/>
      <c r="F25" s="9"/>
      <c r="G25" s="40"/>
      <c r="H25" s="9"/>
      <c r="I25" s="40"/>
      <c r="J25" s="9"/>
      <c r="K25" s="40"/>
      <c r="L25" s="9">
        <v>0</v>
      </c>
    </row>
    <row r="26" spans="2:12" x14ac:dyDescent="0.2">
      <c r="B26" s="10"/>
      <c r="C26" s="11"/>
      <c r="D26" s="12" t="s">
        <v>30</v>
      </c>
      <c r="E26" s="40"/>
      <c r="F26" s="9"/>
      <c r="G26" s="40"/>
      <c r="H26" s="9"/>
      <c r="I26" s="40"/>
      <c r="J26" s="9"/>
      <c r="K26" s="40"/>
      <c r="L26" s="9">
        <v>0</v>
      </c>
    </row>
    <row r="27" spans="2:12" x14ac:dyDescent="0.2">
      <c r="B27" s="10"/>
      <c r="C27" s="133" t="s">
        <v>31</v>
      </c>
      <c r="D27" s="134"/>
      <c r="E27" s="41">
        <v>0</v>
      </c>
      <c r="F27" s="14"/>
      <c r="G27" s="41"/>
      <c r="H27" s="14"/>
      <c r="I27" s="41"/>
      <c r="J27" s="14"/>
      <c r="K27" s="41"/>
      <c r="L27" s="14">
        <v>0</v>
      </c>
    </row>
    <row r="28" spans="2:12" x14ac:dyDescent="0.2">
      <c r="B28" s="10"/>
      <c r="C28" s="11"/>
      <c r="D28" s="12" t="s">
        <v>32</v>
      </c>
      <c r="E28" s="40"/>
      <c r="F28" s="9"/>
      <c r="G28" s="40"/>
      <c r="H28" s="9"/>
      <c r="I28" s="40"/>
      <c r="J28" s="9"/>
      <c r="K28" s="40"/>
      <c r="L28" s="9">
        <v>0</v>
      </c>
    </row>
    <row r="29" spans="2:12" x14ac:dyDescent="0.2">
      <c r="B29" s="10"/>
      <c r="C29" s="11"/>
      <c r="D29" s="12" t="s">
        <v>33</v>
      </c>
      <c r="E29" s="40"/>
      <c r="F29" s="9"/>
      <c r="G29" s="40"/>
      <c r="H29" s="9"/>
      <c r="I29" s="40"/>
      <c r="J29" s="9"/>
      <c r="K29" s="40"/>
      <c r="L29" s="9">
        <v>0</v>
      </c>
    </row>
    <row r="30" spans="2:12" x14ac:dyDescent="0.2">
      <c r="B30" s="10"/>
      <c r="C30" s="133" t="s">
        <v>34</v>
      </c>
      <c r="D30" s="134"/>
      <c r="E30" s="41">
        <v>0</v>
      </c>
      <c r="F30" s="14"/>
      <c r="G30" s="41"/>
      <c r="H30" s="14"/>
      <c r="I30" s="41"/>
      <c r="J30" s="14"/>
      <c r="K30" s="41"/>
      <c r="L30" s="14">
        <v>0</v>
      </c>
    </row>
    <row r="31" spans="2:12" x14ac:dyDescent="0.2">
      <c r="B31" s="10"/>
      <c r="C31" s="11"/>
      <c r="D31" s="12" t="s">
        <v>35</v>
      </c>
      <c r="E31" s="40"/>
      <c r="F31" s="9"/>
      <c r="G31" s="40"/>
      <c r="H31" s="9"/>
      <c r="I31" s="40"/>
      <c r="J31" s="9"/>
      <c r="K31" s="40"/>
      <c r="L31" s="9">
        <v>0</v>
      </c>
    </row>
    <row r="32" spans="2:12" x14ac:dyDescent="0.2">
      <c r="B32" s="10"/>
      <c r="C32" s="11"/>
      <c r="D32" s="12" t="s">
        <v>36</v>
      </c>
      <c r="E32" s="40"/>
      <c r="F32" s="9"/>
      <c r="G32" s="40"/>
      <c r="H32" s="9"/>
      <c r="I32" s="40"/>
      <c r="J32" s="9"/>
      <c r="K32" s="40"/>
      <c r="L32" s="9">
        <v>0</v>
      </c>
    </row>
    <row r="33" spans="1:15" x14ac:dyDescent="0.2">
      <c r="B33" s="10"/>
      <c r="C33" s="11"/>
      <c r="D33" s="12" t="s">
        <v>37</v>
      </c>
      <c r="E33" s="40"/>
      <c r="F33" s="9"/>
      <c r="G33" s="40"/>
      <c r="H33" s="9"/>
      <c r="I33" s="40"/>
      <c r="J33" s="9"/>
      <c r="K33" s="40"/>
      <c r="L33" s="9">
        <v>0</v>
      </c>
    </row>
    <row r="34" spans="1:15" x14ac:dyDescent="0.2">
      <c r="B34" s="10"/>
      <c r="C34" s="11"/>
      <c r="D34" s="12" t="s">
        <v>38</v>
      </c>
      <c r="E34" s="40"/>
      <c r="F34" s="9"/>
      <c r="G34" s="40"/>
      <c r="H34" s="9"/>
      <c r="I34" s="40"/>
      <c r="J34" s="9"/>
      <c r="K34" s="40"/>
      <c r="L34" s="9">
        <v>0</v>
      </c>
    </row>
    <row r="35" spans="1:15" x14ac:dyDescent="0.2">
      <c r="B35" s="10"/>
      <c r="C35" s="133" t="s">
        <v>39</v>
      </c>
      <c r="D35" s="134"/>
      <c r="E35" s="72">
        <v>0</v>
      </c>
      <c r="F35" s="46">
        <v>0</v>
      </c>
      <c r="G35" s="72">
        <v>0</v>
      </c>
      <c r="H35" s="46">
        <v>0</v>
      </c>
      <c r="I35" s="72">
        <v>0</v>
      </c>
      <c r="J35" s="46">
        <v>0</v>
      </c>
      <c r="K35" s="72">
        <v>0</v>
      </c>
      <c r="L35" s="14">
        <v>0</v>
      </c>
    </row>
    <row r="36" spans="1:15" ht="15" x14ac:dyDescent="0.25">
      <c r="B36" s="10"/>
      <c r="C36" s="11"/>
      <c r="D36" s="47" t="s">
        <v>40</v>
      </c>
      <c r="E36" s="70"/>
      <c r="F36" s="78"/>
      <c r="G36" s="70"/>
      <c r="H36" s="78"/>
      <c r="I36" s="70"/>
      <c r="J36" s="78"/>
      <c r="K36" s="70"/>
      <c r="L36" s="78"/>
      <c r="N36" s="57"/>
      <c r="O36" s="57"/>
    </row>
    <row r="37" spans="1:15" ht="15" customHeight="1" x14ac:dyDescent="0.2">
      <c r="B37" s="147" t="s">
        <v>41</v>
      </c>
      <c r="C37" s="148"/>
      <c r="D37" s="149"/>
      <c r="E37" s="40"/>
      <c r="F37" s="9"/>
      <c r="G37" s="40"/>
      <c r="H37" s="9"/>
      <c r="I37" s="40"/>
      <c r="J37" s="9"/>
      <c r="K37" s="40"/>
      <c r="L37" s="9">
        <v>0</v>
      </c>
    </row>
    <row r="38" spans="1:15" ht="15" customHeight="1" x14ac:dyDescent="0.2">
      <c r="B38" s="147" t="s">
        <v>42</v>
      </c>
      <c r="C38" s="148"/>
      <c r="D38" s="149"/>
      <c r="E38" s="40"/>
      <c r="F38" s="9"/>
      <c r="G38" s="40"/>
      <c r="H38" s="9"/>
      <c r="I38" s="40"/>
      <c r="J38" s="9"/>
      <c r="K38" s="40"/>
      <c r="L38" s="9">
        <v>0</v>
      </c>
    </row>
    <row r="39" spans="1:15" ht="15.75" customHeight="1" x14ac:dyDescent="0.2">
      <c r="B39" s="147" t="s">
        <v>43</v>
      </c>
      <c r="C39" s="148"/>
      <c r="D39" s="149"/>
      <c r="E39" s="40"/>
      <c r="F39" s="9"/>
      <c r="G39" s="40"/>
      <c r="H39" s="9"/>
      <c r="I39" s="40"/>
      <c r="J39" s="9"/>
      <c r="K39" s="40"/>
      <c r="L39" s="9">
        <v>0</v>
      </c>
    </row>
    <row r="40" spans="1:15" x14ac:dyDescent="0.2">
      <c r="B40" s="16"/>
      <c r="C40" s="17"/>
      <c r="D40" s="18"/>
      <c r="E40" s="74"/>
      <c r="F40" s="19"/>
      <c r="G40" s="74"/>
      <c r="H40" s="19"/>
      <c r="I40" s="74"/>
      <c r="J40" s="19"/>
      <c r="K40" s="74"/>
      <c r="L40" s="19"/>
    </row>
    <row r="41" spans="1:15" s="23" customFormat="1" ht="16.5" customHeight="1" x14ac:dyDescent="0.2">
      <c r="A41" s="20"/>
      <c r="B41" s="21"/>
      <c r="C41" s="151" t="s">
        <v>44</v>
      </c>
      <c r="D41" s="152"/>
      <c r="E41" s="48">
        <v>128963136.70000002</v>
      </c>
      <c r="F41" s="48">
        <v>112193731.31</v>
      </c>
      <c r="G41" s="48">
        <v>241156868.00999996</v>
      </c>
      <c r="H41" s="48">
        <v>224030894.51999998</v>
      </c>
      <c r="I41" s="48">
        <v>224030894.51999998</v>
      </c>
      <c r="J41" s="48">
        <v>224030894.51999998</v>
      </c>
      <c r="K41" s="48">
        <v>219090432.86999997</v>
      </c>
      <c r="L41" s="48">
        <v>17125973.489999998</v>
      </c>
      <c r="M41" s="20"/>
      <c r="N41" s="58"/>
    </row>
    <row r="42" spans="1: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5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5" x14ac:dyDescent="0.2">
      <c r="D46" s="25"/>
    </row>
    <row r="47" spans="1:15" x14ac:dyDescent="0.2">
      <c r="D47" s="43" t="s">
        <v>88</v>
      </c>
      <c r="G47" s="153" t="s">
        <v>109</v>
      </c>
      <c r="H47" s="153"/>
      <c r="I47" s="153"/>
      <c r="J47" s="153"/>
      <c r="K47" s="153"/>
      <c r="L47" s="153"/>
    </row>
    <row r="48" spans="1:15" x14ac:dyDescent="0.2">
      <c r="D48" s="26" t="s">
        <v>87</v>
      </c>
      <c r="G48" s="150" t="s">
        <v>89</v>
      </c>
      <c r="H48" s="150"/>
      <c r="I48" s="150"/>
      <c r="J48" s="150"/>
      <c r="K48" s="150"/>
      <c r="L48" s="150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59055118110236227" right="0.39370078740157483" top="0.43307086614173229" bottom="0.74803149606299213" header="0.31496062992125984" footer="0.31496062992125984"/>
  <pageSetup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I99"/>
  <sheetViews>
    <sheetView showGridLines="0" zoomScale="85" zoomScaleNormal="85" workbookViewId="0">
      <selection activeCell="M16" sqref="M1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8.42578125" style="15" customWidth="1"/>
    <col min="5" max="5" width="12.7109375" style="15" customWidth="1"/>
    <col min="6" max="6" width="28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hidden="1" customWidth="1"/>
    <col min="31" max="31" width="0" style="15" hidden="1" customWidth="1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36" width="0" style="15" hidden="1" customWidth="1"/>
    <col min="37" max="16384" width="11.42578125" style="15"/>
  </cols>
  <sheetData>
    <row r="1" spans="2:35" ht="6" customHeight="1" x14ac:dyDescent="0.2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2:35" ht="13.5" customHeight="1" x14ac:dyDescent="0.2">
      <c r="B2" s="135" t="s">
        <v>46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2:35" ht="20.25" customHeight="1" x14ac:dyDescent="0.2">
      <c r="B3" s="135" t="s">
        <v>146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6" t="s">
        <v>85</v>
      </c>
      <c r="F5" s="136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7" t="s">
        <v>47</v>
      </c>
      <c r="C7" s="138"/>
      <c r="D7" s="139"/>
      <c r="E7" s="154" t="s">
        <v>48</v>
      </c>
      <c r="F7" s="28"/>
      <c r="G7" s="154" t="s">
        <v>49</v>
      </c>
      <c r="H7" s="157" t="s">
        <v>50</v>
      </c>
      <c r="I7" s="158"/>
      <c r="J7" s="158"/>
      <c r="K7" s="158"/>
      <c r="L7" s="158"/>
      <c r="M7" s="158"/>
      <c r="N7" s="159"/>
      <c r="O7" s="146" t="s">
        <v>4</v>
      </c>
      <c r="P7" s="163" t="s">
        <v>51</v>
      </c>
      <c r="Q7" s="164"/>
    </row>
    <row r="8" spans="2:35" ht="25.5" x14ac:dyDescent="0.2">
      <c r="B8" s="140"/>
      <c r="C8" s="141"/>
      <c r="D8" s="142"/>
      <c r="E8" s="155"/>
      <c r="F8" s="29" t="s">
        <v>52</v>
      </c>
      <c r="G8" s="155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6"/>
      <c r="P8" s="30" t="s">
        <v>53</v>
      </c>
      <c r="Q8" s="30" t="s">
        <v>54</v>
      </c>
      <c r="S8" s="15" t="s">
        <v>110</v>
      </c>
      <c r="W8" s="15" t="s">
        <v>111</v>
      </c>
      <c r="X8" s="15" t="s">
        <v>112</v>
      </c>
      <c r="Y8" s="15" t="s">
        <v>113</v>
      </c>
      <c r="Z8" s="15" t="s">
        <v>137</v>
      </c>
      <c r="AA8" s="15" t="s">
        <v>138</v>
      </c>
      <c r="AB8" s="15" t="s">
        <v>139</v>
      </c>
      <c r="AC8" s="15" t="s">
        <v>140</v>
      </c>
    </row>
    <row r="9" spans="2:35" ht="15.75" customHeight="1" x14ac:dyDescent="0.2">
      <c r="B9" s="143"/>
      <c r="C9" s="144"/>
      <c r="D9" s="145"/>
      <c r="E9" s="156"/>
      <c r="F9" s="31"/>
      <c r="G9" s="156"/>
      <c r="H9" s="7">
        <v>1</v>
      </c>
      <c r="I9" s="7">
        <v>2</v>
      </c>
      <c r="J9" s="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66" customFormat="1" ht="15" x14ac:dyDescent="0.25">
      <c r="B10" s="61"/>
      <c r="C10" s="62"/>
      <c r="D10" s="47" t="s">
        <v>114</v>
      </c>
      <c r="E10" s="63" t="s">
        <v>115</v>
      </c>
      <c r="F10" s="47" t="s">
        <v>114</v>
      </c>
      <c r="G10" s="85" t="s">
        <v>130</v>
      </c>
      <c r="H10" s="97">
        <v>38720706.039999999</v>
      </c>
      <c r="I10" s="71">
        <v>6472833.3600000013</v>
      </c>
      <c r="J10" s="90">
        <v>45193539.399999999</v>
      </c>
      <c r="K10" s="81">
        <v>39732089.859999999</v>
      </c>
      <c r="L10" s="93">
        <v>39732089.859999999</v>
      </c>
      <c r="M10" s="93">
        <v>39732089.859999999</v>
      </c>
      <c r="N10" s="93">
        <v>39215151.880000003</v>
      </c>
      <c r="O10" s="64">
        <f>+J10-L10</f>
        <v>5461449.5399999991</v>
      </c>
      <c r="P10" s="65">
        <f>+L10/H10</f>
        <v>1.0261199736119275</v>
      </c>
      <c r="Q10" s="65">
        <f>L10/J10</f>
        <v>0.87915419742495315</v>
      </c>
      <c r="R10" s="67"/>
      <c r="S10" s="67">
        <f>+N10</f>
        <v>39215151.880000003</v>
      </c>
      <c r="T10" s="67">
        <f>+L10+M10</f>
        <v>79464179.719999999</v>
      </c>
      <c r="U10" s="67">
        <f>+L10+M10</f>
        <v>79464179.719999999</v>
      </c>
      <c r="V10" s="67">
        <f>+M10</f>
        <v>39732089.859999999</v>
      </c>
      <c r="W10" s="66">
        <v>20771463.530000001</v>
      </c>
      <c r="X10" s="66">
        <v>20771463.530000001</v>
      </c>
      <c r="Y10" s="67">
        <v>20557319.620000001</v>
      </c>
      <c r="Z10" s="81">
        <f>+K10+L10+N10</f>
        <v>118679331.59999999</v>
      </c>
      <c r="AA10" s="96">
        <f>+L10+N10</f>
        <v>78947241.74000001</v>
      </c>
      <c r="AB10" s="67">
        <v>2369572.52</v>
      </c>
      <c r="AC10" s="67">
        <v>2009411.42</v>
      </c>
      <c r="AF10" s="66">
        <v>26164039.920000002</v>
      </c>
      <c r="AG10" s="66">
        <v>12306311.529999999</v>
      </c>
      <c r="AH10" s="66">
        <v>12306311.529999999</v>
      </c>
      <c r="AI10" s="66">
        <v>11158253.18</v>
      </c>
    </row>
    <row r="11" spans="2:35" s="66" customFormat="1" ht="12.75" customHeight="1" x14ac:dyDescent="0.25">
      <c r="B11" s="61"/>
      <c r="C11" s="62"/>
      <c r="D11" s="47" t="s">
        <v>116</v>
      </c>
      <c r="E11" s="63" t="s">
        <v>117</v>
      </c>
      <c r="F11" s="47" t="s">
        <v>116</v>
      </c>
      <c r="G11" s="68" t="s">
        <v>129</v>
      </c>
      <c r="H11" s="98">
        <v>1048188.56</v>
      </c>
      <c r="I11" s="71">
        <v>1033696.82</v>
      </c>
      <c r="J11" s="64">
        <v>2081885.38</v>
      </c>
      <c r="K11" s="81">
        <v>2081885.38</v>
      </c>
      <c r="L11" s="92">
        <v>2081885.38</v>
      </c>
      <c r="M11" s="92">
        <v>2081885.38</v>
      </c>
      <c r="N11" s="92">
        <v>2081885.38</v>
      </c>
      <c r="O11" s="64">
        <f t="shared" ref="O11:O31" si="0">+J11-L11</f>
        <v>0</v>
      </c>
      <c r="P11" s="65">
        <f t="shared" ref="P11:P26" si="1">L11/H11</f>
        <v>1.9861744913529678</v>
      </c>
      <c r="Q11" s="65">
        <f t="shared" ref="Q11:Q26" si="2">L11/J11</f>
        <v>1</v>
      </c>
      <c r="R11" s="67"/>
      <c r="S11" s="67">
        <f t="shared" ref="S11:S31" si="3">+N11</f>
        <v>2081885.38</v>
      </c>
      <c r="T11" s="67">
        <f t="shared" ref="T11:T31" si="4">+L11+M11</f>
        <v>4163770.76</v>
      </c>
      <c r="U11" s="67">
        <f t="shared" ref="U11:U31" si="5">+L11+M11</f>
        <v>4163770.76</v>
      </c>
      <c r="V11" s="67">
        <f t="shared" ref="V11:V31" si="6">+M11</f>
        <v>2081885.38</v>
      </c>
      <c r="W11" s="66">
        <v>13224420.92</v>
      </c>
      <c r="X11" s="66">
        <v>13224420.92</v>
      </c>
      <c r="Y11" s="88">
        <v>13212914.82</v>
      </c>
      <c r="Z11" s="81">
        <f t="shared" ref="Z11:Z31" si="7">+K11+L11+N11</f>
        <v>6245656.1399999997</v>
      </c>
      <c r="AA11" s="96">
        <f t="shared" ref="AA11:AA31" si="8">+L11+N11</f>
        <v>4163770.76</v>
      </c>
      <c r="AB11" s="67">
        <v>201111.72</v>
      </c>
      <c r="AC11" s="67">
        <v>201111.72</v>
      </c>
      <c r="AF11" s="66">
        <v>748607.09</v>
      </c>
      <c r="AG11" s="66">
        <v>725776.75999999989</v>
      </c>
      <c r="AH11" s="66">
        <v>725776.75999999989</v>
      </c>
      <c r="AI11" s="66">
        <v>721936.32</v>
      </c>
    </row>
    <row r="12" spans="2:35" s="66" customFormat="1" ht="15" x14ac:dyDescent="0.25">
      <c r="B12" s="61"/>
      <c r="C12" s="62"/>
      <c r="D12" s="47" t="s">
        <v>114</v>
      </c>
      <c r="E12" s="63" t="s">
        <v>118</v>
      </c>
      <c r="F12" s="47" t="s">
        <v>114</v>
      </c>
      <c r="G12" s="86" t="s">
        <v>129</v>
      </c>
      <c r="H12" s="98">
        <v>10168808.01</v>
      </c>
      <c r="I12" s="71">
        <v>8904383.1799999997</v>
      </c>
      <c r="J12" s="64">
        <v>19073191.190000001</v>
      </c>
      <c r="K12" s="81">
        <v>17472885.91</v>
      </c>
      <c r="L12" s="92">
        <v>17472885.91</v>
      </c>
      <c r="M12" s="92">
        <v>17472885.91</v>
      </c>
      <c r="N12" s="92">
        <v>15572825.890000001</v>
      </c>
      <c r="O12" s="64">
        <f t="shared" si="0"/>
        <v>1600305.2800000012</v>
      </c>
      <c r="P12" s="65">
        <f t="shared" si="1"/>
        <v>1.7182826042951322</v>
      </c>
      <c r="Q12" s="65">
        <f t="shared" si="2"/>
        <v>0.91609661623698113</v>
      </c>
      <c r="R12" s="67"/>
      <c r="S12" s="67">
        <f t="shared" si="3"/>
        <v>15572825.890000001</v>
      </c>
      <c r="T12" s="67">
        <f t="shared" si="4"/>
        <v>34945771.82</v>
      </c>
      <c r="U12" s="67">
        <f t="shared" si="5"/>
        <v>34945771.82</v>
      </c>
      <c r="V12" s="67">
        <f t="shared" si="6"/>
        <v>17472885.91</v>
      </c>
      <c r="W12" s="66">
        <v>49493967.280000001</v>
      </c>
      <c r="X12" s="66">
        <v>49493967.280000001</v>
      </c>
      <c r="Y12" s="88">
        <v>48781949.390000001</v>
      </c>
      <c r="Z12" s="81">
        <f t="shared" si="7"/>
        <v>50518597.710000001</v>
      </c>
      <c r="AA12" s="96">
        <f t="shared" si="8"/>
        <v>33045711.800000001</v>
      </c>
      <c r="AB12" s="67">
        <v>510225.66</v>
      </c>
      <c r="AC12" s="67">
        <v>510225.66</v>
      </c>
      <c r="AF12" s="66">
        <v>7630670.4500000002</v>
      </c>
      <c r="AG12" s="66">
        <v>4111052.11</v>
      </c>
      <c r="AH12" s="66">
        <v>4111052.11</v>
      </c>
      <c r="AI12" s="66">
        <v>4093322.31</v>
      </c>
    </row>
    <row r="13" spans="2:35" s="66" customFormat="1" ht="15" x14ac:dyDescent="0.25">
      <c r="B13" s="61"/>
      <c r="C13" s="62"/>
      <c r="D13" s="47" t="s">
        <v>119</v>
      </c>
      <c r="E13" s="63" t="s">
        <v>120</v>
      </c>
      <c r="F13" s="47" t="s">
        <v>119</v>
      </c>
      <c r="G13" s="68" t="s">
        <v>129</v>
      </c>
      <c r="H13" s="98">
        <v>2272862.88</v>
      </c>
      <c r="I13" s="71">
        <v>2915024.91</v>
      </c>
      <c r="J13" s="64">
        <v>5187887.79</v>
      </c>
      <c r="K13" s="81">
        <v>5179059.2</v>
      </c>
      <c r="L13" s="92">
        <v>5179059.2</v>
      </c>
      <c r="M13" s="92">
        <v>5179059.2</v>
      </c>
      <c r="N13" s="77">
        <v>5177391.7</v>
      </c>
      <c r="O13" s="64">
        <f t="shared" si="0"/>
        <v>8828.589999999851</v>
      </c>
      <c r="P13" s="65">
        <f t="shared" si="1"/>
        <v>2.2786500873295097</v>
      </c>
      <c r="Q13" s="65">
        <f t="shared" si="2"/>
        <v>0.99829823034780796</v>
      </c>
      <c r="R13" s="67"/>
      <c r="S13" s="67">
        <f t="shared" si="3"/>
        <v>5177391.7</v>
      </c>
      <c r="T13" s="67">
        <f t="shared" si="4"/>
        <v>10358118.4</v>
      </c>
      <c r="U13" s="67">
        <f t="shared" si="5"/>
        <v>10358118.4</v>
      </c>
      <c r="V13" s="67">
        <f t="shared" si="6"/>
        <v>5179059.2</v>
      </c>
      <c r="W13" s="66">
        <v>50700438.890000001</v>
      </c>
      <c r="X13" s="66">
        <v>50700438.890000001</v>
      </c>
      <c r="Y13" s="88">
        <v>50700438.890000001</v>
      </c>
      <c r="Z13" s="81">
        <f t="shared" si="7"/>
        <v>15535510.100000001</v>
      </c>
      <c r="AA13" s="96">
        <f t="shared" si="8"/>
        <v>10356450.9</v>
      </c>
      <c r="AB13" s="67">
        <v>591074.37</v>
      </c>
      <c r="AC13" s="67">
        <v>591074.37</v>
      </c>
      <c r="AF13" s="66">
        <v>2497532.88</v>
      </c>
      <c r="AG13" s="66">
        <v>2226570.3200000003</v>
      </c>
      <c r="AH13" s="66">
        <v>2226570.3200000003</v>
      </c>
      <c r="AI13" s="66">
        <v>2191428.7200000002</v>
      </c>
    </row>
    <row r="14" spans="2:35" s="66" customFormat="1" ht="15" x14ac:dyDescent="0.25">
      <c r="B14" s="61"/>
      <c r="C14" s="62"/>
      <c r="D14" s="47" t="s">
        <v>121</v>
      </c>
      <c r="E14" s="63" t="s">
        <v>91</v>
      </c>
      <c r="F14" s="47" t="s">
        <v>121</v>
      </c>
      <c r="G14" s="68" t="s">
        <v>131</v>
      </c>
      <c r="H14" s="98">
        <v>36901470.229999997</v>
      </c>
      <c r="I14" s="71">
        <v>45871514.159999996</v>
      </c>
      <c r="J14" s="64">
        <v>82772984.390000001</v>
      </c>
      <c r="K14" s="81">
        <v>79355292.280000001</v>
      </c>
      <c r="L14" s="92">
        <v>79355292.280000001</v>
      </c>
      <c r="M14" s="92">
        <v>79355292.280000001</v>
      </c>
      <c r="N14" s="92">
        <v>78688935.200000003</v>
      </c>
      <c r="O14" s="64">
        <f t="shared" si="0"/>
        <v>3417692.1099999994</v>
      </c>
      <c r="P14" s="65">
        <f t="shared" si="1"/>
        <v>2.1504642439825088</v>
      </c>
      <c r="Q14" s="65">
        <f t="shared" si="2"/>
        <v>0.95871005334425397</v>
      </c>
      <c r="R14" s="67"/>
      <c r="S14" s="67">
        <f t="shared" si="3"/>
        <v>78688935.200000003</v>
      </c>
      <c r="T14" s="67">
        <f t="shared" si="4"/>
        <v>158710584.56</v>
      </c>
      <c r="U14" s="67">
        <f t="shared" si="5"/>
        <v>158710584.56</v>
      </c>
      <c r="V14" s="67">
        <f t="shared" si="6"/>
        <v>79355292.280000001</v>
      </c>
      <c r="W14" s="66">
        <v>3943868.57</v>
      </c>
      <c r="X14" s="66">
        <v>3943868.57</v>
      </c>
      <c r="Y14" s="88">
        <v>3895757.11</v>
      </c>
      <c r="Z14" s="81">
        <f t="shared" si="7"/>
        <v>237399519.75999999</v>
      </c>
      <c r="AA14" s="96">
        <f t="shared" si="8"/>
        <v>158044227.48000002</v>
      </c>
      <c r="AB14" s="67">
        <v>9578478.1099999994</v>
      </c>
      <c r="AC14" s="67">
        <v>9578478.1099999994</v>
      </c>
      <c r="AF14" s="66">
        <v>41888586.5</v>
      </c>
      <c r="AG14" s="66">
        <v>38618170.409999996</v>
      </c>
      <c r="AH14" s="66">
        <v>38618170.409999996</v>
      </c>
      <c r="AI14" s="66">
        <v>38434042.719999999</v>
      </c>
    </row>
    <row r="15" spans="2:35" s="66" customFormat="1" ht="15" x14ac:dyDescent="0.25">
      <c r="B15" s="61"/>
      <c r="C15" s="62"/>
      <c r="D15" s="47" t="s">
        <v>136</v>
      </c>
      <c r="E15" s="63" t="s">
        <v>92</v>
      </c>
      <c r="F15" s="47" t="s">
        <v>136</v>
      </c>
      <c r="G15" s="68" t="s">
        <v>131</v>
      </c>
      <c r="H15" s="98">
        <v>570268.31000000006</v>
      </c>
      <c r="I15" s="71">
        <v>538081.32000000007</v>
      </c>
      <c r="J15" s="64">
        <v>1108349.6299999999</v>
      </c>
      <c r="K15" s="81">
        <v>1108349.6200000001</v>
      </c>
      <c r="L15" s="92">
        <v>1108349.6200000001</v>
      </c>
      <c r="M15" s="92">
        <v>1108349.6200000001</v>
      </c>
      <c r="N15" s="92">
        <v>1108349.6200000001</v>
      </c>
      <c r="O15" s="64">
        <f t="shared" si="0"/>
        <v>9.9999997764825821E-3</v>
      </c>
      <c r="P15" s="65">
        <f t="shared" si="1"/>
        <v>1.9435581472167023</v>
      </c>
      <c r="Q15" s="65">
        <f t="shared" si="2"/>
        <v>0.99999999097757652</v>
      </c>
      <c r="R15" s="67"/>
      <c r="S15" s="67">
        <f t="shared" si="3"/>
        <v>1108349.6200000001</v>
      </c>
      <c r="T15" s="67">
        <f t="shared" si="4"/>
        <v>2216699.2400000002</v>
      </c>
      <c r="U15" s="67">
        <f t="shared" si="5"/>
        <v>2216699.2400000002</v>
      </c>
      <c r="V15" s="67">
        <f t="shared" si="6"/>
        <v>1108349.6200000001</v>
      </c>
      <c r="W15" s="66">
        <v>1214596.18</v>
      </c>
      <c r="X15" s="66">
        <v>1214596.18</v>
      </c>
      <c r="Y15" s="88">
        <v>1214041.47</v>
      </c>
      <c r="Z15" s="81">
        <f t="shared" si="7"/>
        <v>3325048.8600000003</v>
      </c>
      <c r="AA15" s="96">
        <f t="shared" si="8"/>
        <v>2216699.2400000002</v>
      </c>
      <c r="AB15" s="67">
        <v>187187.11</v>
      </c>
      <c r="AC15" s="67">
        <v>187187.11</v>
      </c>
      <c r="AF15" s="66">
        <v>671552.06</v>
      </c>
      <c r="AG15" s="66">
        <v>654797.79999999993</v>
      </c>
      <c r="AH15" s="66">
        <v>654797.79999999993</v>
      </c>
      <c r="AI15" s="66">
        <v>646499.85</v>
      </c>
    </row>
    <row r="16" spans="2:35" s="66" customFormat="1" ht="15" x14ac:dyDescent="0.25">
      <c r="B16" s="61"/>
      <c r="C16" s="62"/>
      <c r="D16" s="47" t="s">
        <v>135</v>
      </c>
      <c r="E16" s="63" t="s">
        <v>94</v>
      </c>
      <c r="F16" s="47" t="s">
        <v>135</v>
      </c>
      <c r="G16" s="68" t="s">
        <v>131</v>
      </c>
      <c r="H16" s="98">
        <v>12618157.24</v>
      </c>
      <c r="I16" s="71">
        <v>12482389.129999999</v>
      </c>
      <c r="J16" s="64">
        <v>25100546.370000001</v>
      </c>
      <c r="K16" s="81">
        <v>25100546.370000001</v>
      </c>
      <c r="L16" s="92">
        <v>25100546.370000001</v>
      </c>
      <c r="M16" s="92">
        <v>25100546.370000001</v>
      </c>
      <c r="N16" s="92">
        <v>25079177.57</v>
      </c>
      <c r="O16" s="64">
        <f t="shared" si="0"/>
        <v>0</v>
      </c>
      <c r="P16" s="65">
        <f t="shared" si="1"/>
        <v>1.9892402585086189</v>
      </c>
      <c r="Q16" s="65">
        <f t="shared" si="2"/>
        <v>1</v>
      </c>
      <c r="R16" s="67"/>
      <c r="S16" s="67">
        <f t="shared" si="3"/>
        <v>25079177.57</v>
      </c>
      <c r="T16" s="67">
        <f t="shared" si="4"/>
        <v>50201092.740000002</v>
      </c>
      <c r="U16" s="67">
        <f t="shared" si="5"/>
        <v>50201092.740000002</v>
      </c>
      <c r="V16" s="67">
        <f t="shared" si="6"/>
        <v>25100546.370000001</v>
      </c>
      <c r="Y16" s="88"/>
      <c r="Z16" s="81">
        <f t="shared" si="7"/>
        <v>75280270.310000002</v>
      </c>
      <c r="AA16" s="96">
        <f t="shared" si="8"/>
        <v>50179723.939999998</v>
      </c>
      <c r="AB16" s="67">
        <v>3329294.49</v>
      </c>
      <c r="AC16" s="67">
        <v>3329294.49</v>
      </c>
      <c r="AF16" s="66">
        <v>13486523.74</v>
      </c>
      <c r="AG16" s="66">
        <v>12853983.649999999</v>
      </c>
      <c r="AH16" s="66">
        <v>12853983.649999999</v>
      </c>
      <c r="AI16" s="66">
        <v>12831714.529999999</v>
      </c>
    </row>
    <row r="17" spans="1:35" s="66" customFormat="1" ht="15" x14ac:dyDescent="0.25">
      <c r="B17" s="61"/>
      <c r="C17" s="62"/>
      <c r="D17" s="47" t="s">
        <v>96</v>
      </c>
      <c r="E17" s="63" t="s">
        <v>95</v>
      </c>
      <c r="F17" s="47" t="s">
        <v>96</v>
      </c>
      <c r="G17" s="68" t="s">
        <v>131</v>
      </c>
      <c r="H17" s="98">
        <v>2868058.7</v>
      </c>
      <c r="I17" s="71">
        <v>1299463.3400000001</v>
      </c>
      <c r="J17" s="64">
        <v>4167522.04</v>
      </c>
      <c r="K17" s="81">
        <v>4052017.12</v>
      </c>
      <c r="L17" s="92">
        <v>4052017.12</v>
      </c>
      <c r="M17" s="92">
        <v>4052017.12</v>
      </c>
      <c r="N17" s="92">
        <v>4052017.12</v>
      </c>
      <c r="O17" s="64">
        <f t="shared" si="0"/>
        <v>115504.91999999993</v>
      </c>
      <c r="P17" s="65">
        <f t="shared" si="1"/>
        <v>1.4128082943351195</v>
      </c>
      <c r="Q17" s="65">
        <f t="shared" si="2"/>
        <v>0.97228450890208129</v>
      </c>
      <c r="R17" s="67"/>
      <c r="S17" s="67">
        <f t="shared" si="3"/>
        <v>4052017.12</v>
      </c>
      <c r="T17" s="67">
        <f t="shared" si="4"/>
        <v>8104034.2400000002</v>
      </c>
      <c r="U17" s="67">
        <f t="shared" si="5"/>
        <v>8104034.2400000002</v>
      </c>
      <c r="V17" s="67">
        <f t="shared" si="6"/>
        <v>4052017.12</v>
      </c>
      <c r="W17" s="66">
        <v>1702789.79</v>
      </c>
      <c r="X17" s="66">
        <v>1702789.79</v>
      </c>
      <c r="Y17" s="88">
        <v>1693069.79</v>
      </c>
      <c r="Z17" s="81">
        <f t="shared" si="7"/>
        <v>12156051.359999999</v>
      </c>
      <c r="AA17" s="96">
        <f t="shared" si="8"/>
        <v>8104034.2400000002</v>
      </c>
      <c r="AB17" s="67">
        <v>187335.42</v>
      </c>
      <c r="AC17" s="67">
        <v>187335.42</v>
      </c>
      <c r="AF17" s="66">
        <v>1542004.23</v>
      </c>
      <c r="AG17" s="66">
        <v>1088473.46</v>
      </c>
      <c r="AH17" s="66">
        <v>1088473.46</v>
      </c>
      <c r="AI17" s="66">
        <v>1060898.27</v>
      </c>
    </row>
    <row r="18" spans="1:35" s="66" customFormat="1" ht="15" x14ac:dyDescent="0.25">
      <c r="B18" s="61"/>
      <c r="C18" s="62"/>
      <c r="D18" s="47" t="s">
        <v>97</v>
      </c>
      <c r="E18" s="63" t="s">
        <v>98</v>
      </c>
      <c r="F18" s="47" t="s">
        <v>97</v>
      </c>
      <c r="G18" s="68" t="s">
        <v>129</v>
      </c>
      <c r="H18" s="98">
        <v>2067914.03</v>
      </c>
      <c r="I18" s="71">
        <v>458488.5</v>
      </c>
      <c r="J18" s="64">
        <v>2526402.5299999998</v>
      </c>
      <c r="K18" s="81">
        <v>1933646.92</v>
      </c>
      <c r="L18" s="92">
        <v>1933646.92</v>
      </c>
      <c r="M18" s="92">
        <v>1933646.92</v>
      </c>
      <c r="N18" s="92">
        <v>1933646.92</v>
      </c>
      <c r="O18" s="64">
        <f t="shared" si="0"/>
        <v>592755.60999999987</v>
      </c>
      <c r="P18" s="65">
        <f t="shared" si="1"/>
        <v>0.93507123214401711</v>
      </c>
      <c r="Q18" s="65">
        <f t="shared" si="2"/>
        <v>0.76537562682063975</v>
      </c>
      <c r="R18" s="67"/>
      <c r="S18" s="67">
        <f t="shared" si="3"/>
        <v>1933646.92</v>
      </c>
      <c r="T18" s="67">
        <f t="shared" si="4"/>
        <v>3867293.84</v>
      </c>
      <c r="U18" s="67">
        <f t="shared" si="5"/>
        <v>3867293.84</v>
      </c>
      <c r="V18" s="67">
        <f t="shared" si="6"/>
        <v>1933646.92</v>
      </c>
      <c r="W18" s="66">
        <v>1288268.69</v>
      </c>
      <c r="X18" s="66">
        <v>1288268.69</v>
      </c>
      <c r="Y18" s="88">
        <v>1213198.28</v>
      </c>
      <c r="Z18" s="81">
        <f t="shared" si="7"/>
        <v>5800940.7599999998</v>
      </c>
      <c r="AA18" s="96">
        <f t="shared" si="8"/>
        <v>3867293.84</v>
      </c>
      <c r="AB18" s="67">
        <v>83015.33</v>
      </c>
      <c r="AC18" s="67">
        <v>83015.33</v>
      </c>
      <c r="AF18" s="66">
        <v>995534.74</v>
      </c>
      <c r="AG18" s="66">
        <v>541139.43999999994</v>
      </c>
      <c r="AH18" s="66">
        <v>541139.43999999994</v>
      </c>
      <c r="AI18" s="66">
        <v>540139.43999999994</v>
      </c>
    </row>
    <row r="19" spans="1:35" s="66" customFormat="1" ht="15" x14ac:dyDescent="0.25">
      <c r="B19" s="61"/>
      <c r="C19" s="62"/>
      <c r="D19" s="47" t="s">
        <v>99</v>
      </c>
      <c r="E19" s="63" t="s">
        <v>100</v>
      </c>
      <c r="F19" s="47" t="s">
        <v>99</v>
      </c>
      <c r="G19" s="68" t="s">
        <v>130</v>
      </c>
      <c r="H19" s="98">
        <v>3763990.37</v>
      </c>
      <c r="I19" s="71">
        <v>1512496.21</v>
      </c>
      <c r="J19" s="64">
        <v>5276486.58</v>
      </c>
      <c r="K19" s="81">
        <v>5139438.6100000003</v>
      </c>
      <c r="L19" s="92">
        <v>5139438.6100000003</v>
      </c>
      <c r="M19" s="92">
        <v>5139438.6100000003</v>
      </c>
      <c r="N19" s="92">
        <v>4995692.3499999996</v>
      </c>
      <c r="O19" s="64">
        <f t="shared" si="0"/>
        <v>137047.96999999974</v>
      </c>
      <c r="P19" s="65">
        <f t="shared" si="1"/>
        <v>1.3654228902822618</v>
      </c>
      <c r="Q19" s="65">
        <f t="shared" si="2"/>
        <v>0.97402666188530329</v>
      </c>
      <c r="R19" s="67"/>
      <c r="S19" s="67">
        <f t="shared" si="3"/>
        <v>4995692.3499999996</v>
      </c>
      <c r="T19" s="67">
        <f t="shared" si="4"/>
        <v>10278877.220000001</v>
      </c>
      <c r="U19" s="67">
        <f t="shared" si="5"/>
        <v>10278877.220000001</v>
      </c>
      <c r="V19" s="67">
        <f t="shared" si="6"/>
        <v>5139438.6100000003</v>
      </c>
      <c r="W19" s="66">
        <v>3957858.17</v>
      </c>
      <c r="X19" s="66">
        <v>3957858.17</v>
      </c>
      <c r="Y19" s="88">
        <v>3879266.77</v>
      </c>
      <c r="Z19" s="81">
        <f t="shared" si="7"/>
        <v>15274569.57</v>
      </c>
      <c r="AA19" s="96">
        <f t="shared" si="8"/>
        <v>10135130.960000001</v>
      </c>
      <c r="AB19" s="67">
        <v>220368.51</v>
      </c>
      <c r="AC19" s="67">
        <v>220368.51</v>
      </c>
      <c r="AF19" s="66">
        <v>2524679.0699999998</v>
      </c>
      <c r="AG19" s="66">
        <v>1552174.0699999998</v>
      </c>
      <c r="AH19" s="66">
        <v>1552174.0699999998</v>
      </c>
      <c r="AI19" s="66">
        <v>1395811.46</v>
      </c>
    </row>
    <row r="20" spans="1:35" s="66" customFormat="1" ht="25.5" x14ac:dyDescent="0.25">
      <c r="B20" s="61"/>
      <c r="C20" s="62"/>
      <c r="D20" s="47" t="s">
        <v>101</v>
      </c>
      <c r="E20" s="63" t="s">
        <v>102</v>
      </c>
      <c r="F20" s="47" t="s">
        <v>101</v>
      </c>
      <c r="G20" s="68" t="s">
        <v>131</v>
      </c>
      <c r="H20" s="98">
        <v>78401.81</v>
      </c>
      <c r="I20" s="71">
        <v>212900.21000000002</v>
      </c>
      <c r="J20" s="64">
        <v>291302.02</v>
      </c>
      <c r="K20" s="81">
        <v>269702.02</v>
      </c>
      <c r="L20" s="92">
        <v>269702.02</v>
      </c>
      <c r="M20" s="92">
        <v>269702.02</v>
      </c>
      <c r="N20" s="92">
        <v>269702.02</v>
      </c>
      <c r="O20" s="64">
        <f t="shared" si="0"/>
        <v>21600</v>
      </c>
      <c r="P20" s="65">
        <f t="shared" si="1"/>
        <v>3.4399973674077171</v>
      </c>
      <c r="Q20" s="65">
        <f t="shared" si="2"/>
        <v>0.9258501537339151</v>
      </c>
      <c r="R20" s="67"/>
      <c r="S20" s="67">
        <f t="shared" si="3"/>
        <v>269702.02</v>
      </c>
      <c r="T20" s="67">
        <f t="shared" si="4"/>
        <v>539404.04</v>
      </c>
      <c r="U20" s="67">
        <f t="shared" si="5"/>
        <v>539404.04</v>
      </c>
      <c r="V20" s="67">
        <f t="shared" si="6"/>
        <v>269702.02</v>
      </c>
      <c r="W20" s="66">
        <v>176350.09</v>
      </c>
      <c r="X20" s="66">
        <v>176350.09</v>
      </c>
      <c r="Y20" s="88">
        <v>176350.09</v>
      </c>
      <c r="Z20" s="81">
        <f t="shared" si="7"/>
        <v>809106.06</v>
      </c>
      <c r="AA20" s="96">
        <f t="shared" si="8"/>
        <v>539404.04</v>
      </c>
      <c r="AB20" s="67">
        <v>0</v>
      </c>
      <c r="AC20" s="67">
        <v>0</v>
      </c>
      <c r="AF20" s="66">
        <v>8130</v>
      </c>
      <c r="AG20" s="66">
        <v>0</v>
      </c>
      <c r="AH20" s="66">
        <v>0</v>
      </c>
      <c r="AI20" s="66">
        <v>0</v>
      </c>
    </row>
    <row r="21" spans="1:35" s="66" customFormat="1" ht="15" x14ac:dyDescent="0.25">
      <c r="B21" s="61"/>
      <c r="C21" s="62"/>
      <c r="D21" s="47" t="s">
        <v>103</v>
      </c>
      <c r="E21" s="63" t="s">
        <v>104</v>
      </c>
      <c r="F21" s="47" t="s">
        <v>103</v>
      </c>
      <c r="G21" s="63" t="s">
        <v>132</v>
      </c>
      <c r="H21" s="98">
        <v>5713969.7000000002</v>
      </c>
      <c r="I21" s="71">
        <v>307598.18000000017</v>
      </c>
      <c r="J21" s="64">
        <v>6021567.8799999999</v>
      </c>
      <c r="K21" s="81">
        <v>5344539.63</v>
      </c>
      <c r="L21" s="92">
        <v>5344539.63</v>
      </c>
      <c r="M21" s="92">
        <v>5344539.63</v>
      </c>
      <c r="N21" s="92">
        <v>5336711.71</v>
      </c>
      <c r="O21" s="64">
        <f t="shared" si="0"/>
        <v>677028.25</v>
      </c>
      <c r="P21" s="65">
        <f t="shared" si="1"/>
        <v>0.93534616223113676</v>
      </c>
      <c r="Q21" s="65">
        <f t="shared" si="2"/>
        <v>0.88756611841100763</v>
      </c>
      <c r="R21" s="67"/>
      <c r="S21" s="67">
        <f t="shared" si="3"/>
        <v>5336711.71</v>
      </c>
      <c r="T21" s="67">
        <f t="shared" si="4"/>
        <v>10689079.26</v>
      </c>
      <c r="U21" s="67">
        <f t="shared" si="5"/>
        <v>10689079.26</v>
      </c>
      <c r="V21" s="67">
        <f t="shared" si="6"/>
        <v>5344539.63</v>
      </c>
      <c r="W21" s="66">
        <v>5696035.3600000003</v>
      </c>
      <c r="X21" s="66">
        <v>5696035.3600000003</v>
      </c>
      <c r="Y21" s="88">
        <v>5591757.4900000002</v>
      </c>
      <c r="Z21" s="81">
        <f t="shared" si="7"/>
        <v>16025790.969999999</v>
      </c>
      <c r="AA21" s="96">
        <f t="shared" si="8"/>
        <v>10681251.34</v>
      </c>
      <c r="AB21" s="67">
        <v>635096.01</v>
      </c>
      <c r="AC21" s="67">
        <v>635096.01</v>
      </c>
      <c r="AF21" s="66">
        <v>2557149.61</v>
      </c>
      <c r="AG21" s="66">
        <v>2267266.44</v>
      </c>
      <c r="AH21" s="66">
        <v>2267266.44</v>
      </c>
      <c r="AI21" s="66">
        <v>2251161.67</v>
      </c>
    </row>
    <row r="22" spans="1:35" s="66" customFormat="1" ht="15" x14ac:dyDescent="0.25">
      <c r="B22" s="61"/>
      <c r="C22" s="62"/>
      <c r="D22" s="47" t="s">
        <v>105</v>
      </c>
      <c r="E22" s="63" t="s">
        <v>106</v>
      </c>
      <c r="F22" s="47" t="s">
        <v>105</v>
      </c>
      <c r="G22" s="63" t="s">
        <v>132</v>
      </c>
      <c r="H22" s="98">
        <v>243641.44</v>
      </c>
      <c r="I22" s="71">
        <v>406487.23</v>
      </c>
      <c r="J22" s="64">
        <v>650128.67000000004</v>
      </c>
      <c r="K22" s="81">
        <v>650078.67000000004</v>
      </c>
      <c r="L22" s="92">
        <v>650078.67000000004</v>
      </c>
      <c r="M22" s="92">
        <v>650078.67000000004</v>
      </c>
      <c r="N22" s="92">
        <v>650078.67000000004</v>
      </c>
      <c r="O22" s="64">
        <f t="shared" si="0"/>
        <v>50</v>
      </c>
      <c r="P22" s="65">
        <f t="shared" si="1"/>
        <v>2.6681777533411393</v>
      </c>
      <c r="Q22" s="65">
        <f t="shared" si="2"/>
        <v>0.99992309214728214</v>
      </c>
      <c r="R22" s="67"/>
      <c r="S22" s="67">
        <f t="shared" si="3"/>
        <v>650078.67000000004</v>
      </c>
      <c r="T22" s="67">
        <f t="shared" si="4"/>
        <v>1300157.3400000001</v>
      </c>
      <c r="U22" s="67">
        <f t="shared" si="5"/>
        <v>1300157.3400000001</v>
      </c>
      <c r="V22" s="67">
        <f t="shared" si="6"/>
        <v>650078.67000000004</v>
      </c>
      <c r="W22" s="66">
        <v>373358.68</v>
      </c>
      <c r="X22" s="66">
        <v>373358.68</v>
      </c>
      <c r="Y22" s="88">
        <v>367442.68</v>
      </c>
      <c r="Z22" s="81">
        <f t="shared" si="7"/>
        <v>1950236.0100000002</v>
      </c>
      <c r="AA22" s="96">
        <f t="shared" si="8"/>
        <v>1300157.3400000001</v>
      </c>
      <c r="AB22" s="67">
        <v>65236.94</v>
      </c>
      <c r="AC22" s="67">
        <v>65236.94</v>
      </c>
      <c r="AF22" s="66">
        <v>257473.85</v>
      </c>
      <c r="AG22" s="66">
        <v>244569.41</v>
      </c>
      <c r="AH22" s="66">
        <v>244569.41</v>
      </c>
      <c r="AI22" s="66">
        <v>236863.12</v>
      </c>
    </row>
    <row r="23" spans="1:35" s="66" customFormat="1" ht="15" x14ac:dyDescent="0.25">
      <c r="B23" s="61"/>
      <c r="C23" s="62"/>
      <c r="D23" s="47" t="s">
        <v>126</v>
      </c>
      <c r="E23" s="63" t="s">
        <v>122</v>
      </c>
      <c r="F23" s="47" t="s">
        <v>126</v>
      </c>
      <c r="G23" s="63" t="s">
        <v>130</v>
      </c>
      <c r="H23" s="98">
        <v>1315689.52</v>
      </c>
      <c r="I23" s="71">
        <v>994748.2</v>
      </c>
      <c r="J23" s="64">
        <v>2310437.7200000002</v>
      </c>
      <c r="K23" s="81">
        <v>2308704.2200000002</v>
      </c>
      <c r="L23" s="92">
        <v>2308704.2200000002</v>
      </c>
      <c r="M23" s="92">
        <v>2308704.2200000002</v>
      </c>
      <c r="N23" s="92">
        <v>2259984.2200000002</v>
      </c>
      <c r="O23" s="64">
        <f t="shared" si="0"/>
        <v>1733.5</v>
      </c>
      <c r="P23" s="65">
        <f t="shared" si="1"/>
        <v>1.7547485063193329</v>
      </c>
      <c r="Q23" s="65">
        <f t="shared" si="2"/>
        <v>0.99924970927154011</v>
      </c>
      <c r="R23" s="67"/>
      <c r="S23" s="67">
        <f t="shared" si="3"/>
        <v>2259984.2200000002</v>
      </c>
      <c r="T23" s="67">
        <f t="shared" si="4"/>
        <v>4617408.4400000004</v>
      </c>
      <c r="U23" s="67">
        <f t="shared" si="5"/>
        <v>4617408.4400000004</v>
      </c>
      <c r="V23" s="67">
        <f t="shared" si="6"/>
        <v>2308704.2200000002</v>
      </c>
      <c r="Y23" s="88"/>
      <c r="Z23" s="81">
        <f t="shared" si="7"/>
        <v>6877392.6600000001</v>
      </c>
      <c r="AA23" s="96">
        <f t="shared" si="8"/>
        <v>4568688.4400000004</v>
      </c>
      <c r="AB23" s="67">
        <v>155258.82</v>
      </c>
      <c r="AC23" s="67">
        <v>155258.82</v>
      </c>
      <c r="AF23" s="66">
        <v>1036792.81</v>
      </c>
      <c r="AG23" s="66">
        <v>876477.82</v>
      </c>
      <c r="AH23" s="66">
        <v>876477.82</v>
      </c>
      <c r="AI23" s="66">
        <v>821468.98</v>
      </c>
    </row>
    <row r="24" spans="1:35" s="66" customFormat="1" ht="15" x14ac:dyDescent="0.25">
      <c r="B24" s="61"/>
      <c r="C24" s="62"/>
      <c r="D24" s="47" t="s">
        <v>127</v>
      </c>
      <c r="E24" s="63" t="s">
        <v>123</v>
      </c>
      <c r="F24" s="47" t="s">
        <v>127</v>
      </c>
      <c r="G24" s="63" t="s">
        <v>133</v>
      </c>
      <c r="H24" s="98">
        <v>1501728.75</v>
      </c>
      <c r="I24" s="71">
        <v>1036088.7899999999</v>
      </c>
      <c r="J24" s="64">
        <v>2537817.54</v>
      </c>
      <c r="K24" s="81">
        <v>2537650.46</v>
      </c>
      <c r="L24" s="92">
        <v>2537650.46</v>
      </c>
      <c r="M24" s="92">
        <v>2537650.46</v>
      </c>
      <c r="N24" s="92">
        <v>2537265.46</v>
      </c>
      <c r="O24" s="64">
        <f t="shared" si="0"/>
        <v>167.08000000007451</v>
      </c>
      <c r="P24" s="65">
        <f t="shared" si="1"/>
        <v>1.689819456409821</v>
      </c>
      <c r="Q24" s="65">
        <f t="shared" si="2"/>
        <v>0.99993416390368239</v>
      </c>
      <c r="R24" s="67"/>
      <c r="S24" s="67">
        <f t="shared" si="3"/>
        <v>2537265.46</v>
      </c>
      <c r="T24" s="67">
        <f t="shared" si="4"/>
        <v>5075300.92</v>
      </c>
      <c r="U24" s="67">
        <f t="shared" si="5"/>
        <v>5075300.92</v>
      </c>
      <c r="V24" s="67">
        <f t="shared" si="6"/>
        <v>2537650.46</v>
      </c>
      <c r="Y24" s="88"/>
      <c r="Z24" s="81">
        <f t="shared" si="7"/>
        <v>7612566.3799999999</v>
      </c>
      <c r="AA24" s="96">
        <f t="shared" si="8"/>
        <v>5074915.92</v>
      </c>
      <c r="AB24" s="67">
        <v>336878.69</v>
      </c>
      <c r="AC24" s="67">
        <v>336878.69</v>
      </c>
      <c r="AF24" s="66">
        <v>1127974.8899999999</v>
      </c>
      <c r="AG24" s="66">
        <v>1074426.72</v>
      </c>
      <c r="AH24" s="66">
        <v>1074426.72</v>
      </c>
      <c r="AI24" s="66">
        <v>1067074.6499999999</v>
      </c>
    </row>
    <row r="25" spans="1:35" s="66" customFormat="1" ht="15" x14ac:dyDescent="0.25">
      <c r="B25" s="61"/>
      <c r="C25" s="62"/>
      <c r="D25" s="47" t="s">
        <v>127</v>
      </c>
      <c r="E25" s="63" t="s">
        <v>124</v>
      </c>
      <c r="F25" s="47" t="s">
        <v>127</v>
      </c>
      <c r="G25" s="63" t="s">
        <v>134</v>
      </c>
      <c r="H25" s="98">
        <v>5870835.3600000003</v>
      </c>
      <c r="I25" s="71">
        <v>7027952.2999999998</v>
      </c>
      <c r="J25" s="64">
        <v>12898787.66</v>
      </c>
      <c r="K25" s="81">
        <v>11681452.710000001</v>
      </c>
      <c r="L25" s="92">
        <v>11681452.710000001</v>
      </c>
      <c r="M25" s="92">
        <v>11681452.710000001</v>
      </c>
      <c r="N25" s="92">
        <v>11678980.710000001</v>
      </c>
      <c r="O25" s="64">
        <f t="shared" si="0"/>
        <v>1217334.9499999993</v>
      </c>
      <c r="P25" s="65">
        <f t="shared" si="1"/>
        <v>1.9897428549248228</v>
      </c>
      <c r="Q25" s="65">
        <f t="shared" si="2"/>
        <v>0.90562408017809026</v>
      </c>
      <c r="R25" s="67"/>
      <c r="S25" s="67">
        <f t="shared" si="3"/>
        <v>11678980.710000001</v>
      </c>
      <c r="T25" s="67">
        <f t="shared" si="4"/>
        <v>23362905.420000002</v>
      </c>
      <c r="U25" s="67">
        <f t="shared" si="5"/>
        <v>23362905.420000002</v>
      </c>
      <c r="V25" s="67">
        <f t="shared" si="6"/>
        <v>11681452.710000001</v>
      </c>
      <c r="Y25" s="88"/>
      <c r="Z25" s="81">
        <f t="shared" si="7"/>
        <v>35041886.130000003</v>
      </c>
      <c r="AA25" s="96">
        <f t="shared" si="8"/>
        <v>23360433.420000002</v>
      </c>
      <c r="AB25" s="67">
        <v>1530148.12</v>
      </c>
      <c r="AC25" s="67">
        <v>1530148.12</v>
      </c>
      <c r="AF25" s="66">
        <v>6929871.8399999999</v>
      </c>
      <c r="AG25" s="66">
        <v>6207431.4800000004</v>
      </c>
      <c r="AH25" s="66">
        <v>6207431.4800000004</v>
      </c>
      <c r="AI25" s="66">
        <v>6168584.54</v>
      </c>
    </row>
    <row r="26" spans="1:35" s="66" customFormat="1" ht="15" x14ac:dyDescent="0.25">
      <c r="B26" s="61"/>
      <c r="C26" s="62"/>
      <c r="D26" s="47" t="s">
        <v>128</v>
      </c>
      <c r="E26" s="63" t="s">
        <v>125</v>
      </c>
      <c r="F26" s="47" t="s">
        <v>128</v>
      </c>
      <c r="G26" s="63" t="s">
        <v>132</v>
      </c>
      <c r="H26" s="98">
        <v>3238445.75</v>
      </c>
      <c r="I26" s="71">
        <v>728220.6399999999</v>
      </c>
      <c r="J26" s="64">
        <v>3966666.39</v>
      </c>
      <c r="K26" s="81">
        <v>3621314.42</v>
      </c>
      <c r="L26" s="92">
        <v>3621314.42</v>
      </c>
      <c r="M26" s="92">
        <v>3621314.42</v>
      </c>
      <c r="N26" s="92">
        <v>3607365.42</v>
      </c>
      <c r="O26" s="64">
        <f t="shared" si="0"/>
        <v>345351.9700000002</v>
      </c>
      <c r="P26" s="65">
        <f t="shared" si="1"/>
        <v>1.1182260564346338</v>
      </c>
      <c r="Q26" s="65">
        <f t="shared" si="2"/>
        <v>0.91293647207876227</v>
      </c>
      <c r="R26" s="67"/>
      <c r="S26" s="67">
        <f t="shared" si="3"/>
        <v>3607365.42</v>
      </c>
      <c r="T26" s="67">
        <f t="shared" si="4"/>
        <v>7242628.8399999999</v>
      </c>
      <c r="U26" s="67">
        <f t="shared" si="5"/>
        <v>7242628.8399999999</v>
      </c>
      <c r="V26" s="67">
        <f t="shared" si="6"/>
        <v>3621314.42</v>
      </c>
      <c r="Y26" s="88"/>
      <c r="Z26" s="81">
        <f t="shared" si="7"/>
        <v>10849994.26</v>
      </c>
      <c r="AA26" s="96">
        <f t="shared" si="8"/>
        <v>7228679.8399999999</v>
      </c>
      <c r="AB26" s="67">
        <v>373926.29</v>
      </c>
      <c r="AC26" s="67">
        <v>373926.29</v>
      </c>
      <c r="AF26" s="66">
        <v>1888429.99</v>
      </c>
      <c r="AG26" s="66">
        <v>1596017.39</v>
      </c>
      <c r="AH26" s="66">
        <v>1596017.39</v>
      </c>
      <c r="AI26" s="66">
        <v>1571405.46</v>
      </c>
    </row>
    <row r="27" spans="1:35" s="66" customFormat="1" ht="15" x14ac:dyDescent="0.25">
      <c r="B27" s="61"/>
      <c r="C27" s="62"/>
      <c r="D27" s="47" t="s">
        <v>107</v>
      </c>
      <c r="E27" s="63" t="s">
        <v>108</v>
      </c>
      <c r="F27" s="47" t="s">
        <v>107</v>
      </c>
      <c r="G27" s="63" t="s">
        <v>129</v>
      </c>
      <c r="H27" s="98">
        <v>0</v>
      </c>
      <c r="I27" s="71">
        <v>15903489.08</v>
      </c>
      <c r="J27" s="64">
        <v>15903489.08</v>
      </c>
      <c r="K27" s="81">
        <v>12453815.880000001</v>
      </c>
      <c r="L27" s="92">
        <v>12453815.880000001</v>
      </c>
      <c r="M27" s="92">
        <v>12453815.880000001</v>
      </c>
      <c r="N27" s="92">
        <v>12250907.539999999</v>
      </c>
      <c r="O27" s="64">
        <f t="shared" si="0"/>
        <v>3449673.1999999993</v>
      </c>
      <c r="P27" s="65">
        <v>0</v>
      </c>
      <c r="Q27" s="65">
        <f>+L27/J27</f>
        <v>0.78308702054958124</v>
      </c>
      <c r="R27" s="67"/>
      <c r="S27" s="67">
        <f t="shared" si="3"/>
        <v>12250907.539999999</v>
      </c>
      <c r="T27" s="67">
        <f t="shared" si="4"/>
        <v>24907631.760000002</v>
      </c>
      <c r="U27" s="67">
        <f t="shared" si="5"/>
        <v>24907631.760000002</v>
      </c>
      <c r="V27" s="67">
        <f t="shared" si="6"/>
        <v>12453815.880000001</v>
      </c>
      <c r="W27" s="66">
        <v>0</v>
      </c>
      <c r="X27" s="66">
        <v>0</v>
      </c>
      <c r="Y27" s="88">
        <v>0</v>
      </c>
      <c r="Z27" s="81">
        <f t="shared" si="7"/>
        <v>37158539.299999997</v>
      </c>
      <c r="AA27" s="96">
        <f t="shared" si="8"/>
        <v>24704723.420000002</v>
      </c>
      <c r="AB27" s="67">
        <v>0</v>
      </c>
      <c r="AC27" s="67">
        <v>373926.29</v>
      </c>
      <c r="AF27" s="66">
        <v>13373150.060000001</v>
      </c>
      <c r="AG27" s="66">
        <v>0</v>
      </c>
      <c r="AH27" s="66">
        <v>0</v>
      </c>
      <c r="AI27" s="66">
        <v>0</v>
      </c>
    </row>
    <row r="28" spans="1:35" s="66" customFormat="1" ht="15" x14ac:dyDescent="0.25">
      <c r="B28" s="61"/>
      <c r="C28" s="62"/>
      <c r="D28" s="47" t="s">
        <v>121</v>
      </c>
      <c r="E28" s="63" t="s">
        <v>141</v>
      </c>
      <c r="F28" s="47" t="s">
        <v>121</v>
      </c>
      <c r="G28" s="63" t="s">
        <v>131</v>
      </c>
      <c r="H28" s="98">
        <v>0</v>
      </c>
      <c r="I28" s="71">
        <v>2848000</v>
      </c>
      <c r="J28" s="64">
        <v>2848000</v>
      </c>
      <c r="K28" s="81">
        <v>2795478.91</v>
      </c>
      <c r="L28" s="92">
        <v>2795478.91</v>
      </c>
      <c r="M28" s="92">
        <v>2795478.91</v>
      </c>
      <c r="N28" s="92">
        <v>1494710.88</v>
      </c>
      <c r="O28" s="64">
        <f t="shared" si="0"/>
        <v>52521.089999999851</v>
      </c>
      <c r="P28" s="65">
        <v>0</v>
      </c>
      <c r="Q28" s="65">
        <f>+L28/J28</f>
        <v>0.98155860603932588</v>
      </c>
      <c r="R28" s="67"/>
      <c r="S28" s="67">
        <f t="shared" si="3"/>
        <v>1494710.88</v>
      </c>
      <c r="T28" s="67">
        <f t="shared" si="4"/>
        <v>5590957.8200000003</v>
      </c>
      <c r="U28" s="67">
        <f t="shared" si="5"/>
        <v>5590957.8200000003</v>
      </c>
      <c r="V28" s="67">
        <f t="shared" si="6"/>
        <v>2795478.91</v>
      </c>
      <c r="Y28" s="88"/>
      <c r="Z28" s="81">
        <f t="shared" si="7"/>
        <v>7085668.7000000002</v>
      </c>
      <c r="AA28" s="96">
        <f t="shared" si="8"/>
        <v>4290189.79</v>
      </c>
      <c r="AB28" s="67">
        <v>0</v>
      </c>
      <c r="AC28" s="67">
        <v>373926.29</v>
      </c>
      <c r="AF28" s="66">
        <v>1589371.03</v>
      </c>
      <c r="AG28" s="66">
        <v>74895.259999999995</v>
      </c>
      <c r="AH28" s="66">
        <v>74895.259999999995</v>
      </c>
      <c r="AI28" s="66">
        <v>74895.259999999995</v>
      </c>
    </row>
    <row r="29" spans="1:35" s="66" customFormat="1" ht="15" x14ac:dyDescent="0.25">
      <c r="B29" s="61"/>
      <c r="C29" s="62"/>
      <c r="D29" s="47" t="s">
        <v>121</v>
      </c>
      <c r="E29" s="63" t="s">
        <v>142</v>
      </c>
      <c r="F29" s="47" t="s">
        <v>121</v>
      </c>
      <c r="G29" s="63" t="s">
        <v>131</v>
      </c>
      <c r="H29" s="98">
        <v>0</v>
      </c>
      <c r="I29" s="71">
        <v>75000</v>
      </c>
      <c r="J29" s="64">
        <v>75000</v>
      </c>
      <c r="K29" s="81">
        <v>75000</v>
      </c>
      <c r="L29" s="92">
        <v>75000</v>
      </c>
      <c r="M29" s="92">
        <v>75000</v>
      </c>
      <c r="N29" s="92">
        <v>75000</v>
      </c>
      <c r="O29" s="64">
        <f t="shared" si="0"/>
        <v>0</v>
      </c>
      <c r="P29" s="65">
        <v>0</v>
      </c>
      <c r="Q29" s="65">
        <f>+L29/J29</f>
        <v>1</v>
      </c>
      <c r="R29" s="67"/>
      <c r="S29" s="67">
        <f t="shared" si="3"/>
        <v>75000</v>
      </c>
      <c r="T29" s="67">
        <f t="shared" si="4"/>
        <v>150000</v>
      </c>
      <c r="U29" s="67">
        <f t="shared" si="5"/>
        <v>150000</v>
      </c>
      <c r="V29" s="67">
        <f t="shared" si="6"/>
        <v>75000</v>
      </c>
      <c r="Y29" s="88"/>
      <c r="Z29" s="81">
        <f t="shared" si="7"/>
        <v>225000</v>
      </c>
      <c r="AA29" s="96">
        <f t="shared" si="8"/>
        <v>150000</v>
      </c>
      <c r="AB29" s="67">
        <v>0</v>
      </c>
      <c r="AC29" s="67">
        <v>373926.29</v>
      </c>
      <c r="AF29" s="66">
        <v>75000</v>
      </c>
      <c r="AG29" s="66">
        <v>0</v>
      </c>
      <c r="AH29" s="66">
        <v>0</v>
      </c>
      <c r="AI29" s="66">
        <v>0</v>
      </c>
    </row>
    <row r="30" spans="1:35" s="66" customFormat="1" ht="15" x14ac:dyDescent="0.25">
      <c r="B30" s="61"/>
      <c r="C30" s="62"/>
      <c r="D30" s="47" t="s">
        <v>97</v>
      </c>
      <c r="E30" s="63" t="s">
        <v>143</v>
      </c>
      <c r="F30" s="47" t="s">
        <v>97</v>
      </c>
      <c r="G30" s="63" t="s">
        <v>129</v>
      </c>
      <c r="H30" s="98">
        <v>0</v>
      </c>
      <c r="I30" s="71">
        <v>914875.75</v>
      </c>
      <c r="J30" s="64">
        <v>914875.75</v>
      </c>
      <c r="K30" s="81">
        <v>906332.61</v>
      </c>
      <c r="L30" s="92">
        <v>906332.61</v>
      </c>
      <c r="M30" s="92">
        <v>906332.61</v>
      </c>
      <c r="N30" s="92">
        <v>906332.61</v>
      </c>
      <c r="O30" s="64">
        <f t="shared" si="0"/>
        <v>8543.140000000014</v>
      </c>
      <c r="P30" s="65">
        <v>0</v>
      </c>
      <c r="Q30" s="65">
        <f>+L30/J30</f>
        <v>0.99066196693922648</v>
      </c>
      <c r="R30" s="67"/>
      <c r="S30" s="67">
        <f t="shared" si="3"/>
        <v>906332.61</v>
      </c>
      <c r="T30" s="67">
        <f t="shared" si="4"/>
        <v>1812665.22</v>
      </c>
      <c r="U30" s="67">
        <f t="shared" si="5"/>
        <v>1812665.22</v>
      </c>
      <c r="V30" s="67">
        <f t="shared" si="6"/>
        <v>906332.61</v>
      </c>
      <c r="Y30" s="88"/>
      <c r="Z30" s="81">
        <f t="shared" si="7"/>
        <v>2718997.83</v>
      </c>
      <c r="AA30" s="96">
        <f t="shared" si="8"/>
        <v>1812665.22</v>
      </c>
      <c r="AB30" s="67">
        <v>0</v>
      </c>
      <c r="AC30" s="67">
        <v>373926.29</v>
      </c>
      <c r="AF30" s="66">
        <v>914875.76</v>
      </c>
      <c r="AG30" s="66">
        <v>398698.99</v>
      </c>
      <c r="AH30" s="66">
        <v>398698.99</v>
      </c>
      <c r="AI30" s="66">
        <v>385200</v>
      </c>
    </row>
    <row r="31" spans="1:35" s="57" customFormat="1" ht="15" x14ac:dyDescent="0.25">
      <c r="A31" s="79"/>
      <c r="B31" s="107"/>
      <c r="C31" s="108"/>
      <c r="D31" s="109" t="s">
        <v>144</v>
      </c>
      <c r="E31" s="110" t="s">
        <v>145</v>
      </c>
      <c r="F31" s="109" t="s">
        <v>144</v>
      </c>
      <c r="G31" s="110" t="s">
        <v>130</v>
      </c>
      <c r="H31" s="91">
        <v>0</v>
      </c>
      <c r="I31" s="89">
        <v>250000</v>
      </c>
      <c r="J31" s="91">
        <v>250000</v>
      </c>
      <c r="K31" s="81">
        <v>231613.72</v>
      </c>
      <c r="L31" s="91">
        <v>231613.72</v>
      </c>
      <c r="M31" s="91">
        <v>231613.72</v>
      </c>
      <c r="N31" s="91">
        <v>118320</v>
      </c>
      <c r="O31" s="64">
        <f t="shared" si="0"/>
        <v>18386.28</v>
      </c>
      <c r="P31" s="111">
        <v>0</v>
      </c>
      <c r="Q31" s="111">
        <f>+L31/J31</f>
        <v>0.92645487999999998</v>
      </c>
      <c r="S31" s="67">
        <f t="shared" si="3"/>
        <v>118320</v>
      </c>
      <c r="T31" s="67">
        <f t="shared" si="4"/>
        <v>463227.44</v>
      </c>
      <c r="U31" s="67">
        <f t="shared" si="5"/>
        <v>463227.44</v>
      </c>
      <c r="V31" s="67">
        <f t="shared" si="6"/>
        <v>231613.72</v>
      </c>
      <c r="Y31" s="112"/>
      <c r="Z31" s="81">
        <f t="shared" si="7"/>
        <v>581547.43999999994</v>
      </c>
      <c r="AA31" s="96">
        <f t="shared" si="8"/>
        <v>349933.72</v>
      </c>
      <c r="AB31" s="67">
        <v>0</v>
      </c>
      <c r="AC31" s="67">
        <v>373926.29</v>
      </c>
    </row>
    <row r="32" spans="1:35" s="23" customFormat="1" x14ac:dyDescent="0.2">
      <c r="A32" s="20"/>
      <c r="B32" s="21"/>
      <c r="C32" s="151" t="s">
        <v>44</v>
      </c>
      <c r="D32" s="152"/>
      <c r="E32" s="22"/>
      <c r="F32" s="22"/>
      <c r="G32" s="22"/>
      <c r="H32" s="87">
        <f>+SUM(H10:H31)</f>
        <v>128963136.7</v>
      </c>
      <c r="I32" s="87">
        <f>+SUM(I10:I31)</f>
        <v>112193731.31</v>
      </c>
      <c r="J32" s="87">
        <f>+SUM(J10:J31)</f>
        <v>241156868.00999999</v>
      </c>
      <c r="K32" s="87">
        <f>+SUM(K10:K31)</f>
        <v>224030894.52000001</v>
      </c>
      <c r="L32" s="87">
        <f t="shared" ref="L32:O32" si="9">+SUM(L10:L31)</f>
        <v>224030894.52000001</v>
      </c>
      <c r="M32" s="87">
        <f t="shared" si="9"/>
        <v>224030894.52000001</v>
      </c>
      <c r="N32" s="87">
        <f t="shared" si="9"/>
        <v>219090432.87</v>
      </c>
      <c r="O32" s="87">
        <f t="shared" si="9"/>
        <v>17125973.489999998</v>
      </c>
      <c r="P32" s="160"/>
      <c r="Q32" s="161"/>
      <c r="R32" s="58"/>
      <c r="S32" s="58">
        <f t="shared" ref="S32:Y32" si="10">+SUM(S10:S31)</f>
        <v>219090432.87</v>
      </c>
      <c r="T32" s="58">
        <f t="shared" si="10"/>
        <v>448061789.04000002</v>
      </c>
      <c r="U32" s="58">
        <f t="shared" si="10"/>
        <v>448061789.04000002</v>
      </c>
      <c r="V32" s="58">
        <f t="shared" si="10"/>
        <v>224030894.52000001</v>
      </c>
      <c r="W32" s="58">
        <f t="shared" si="10"/>
        <v>152543416.15000001</v>
      </c>
      <c r="X32" s="58">
        <f t="shared" si="10"/>
        <v>152543416.15000001</v>
      </c>
      <c r="Y32" s="58">
        <f t="shared" si="10"/>
        <v>151283506.40000004</v>
      </c>
      <c r="Z32" s="87">
        <f t="shared" ref="Z32:AC32" si="11">+SUM(Z10:Z27)</f>
        <v>656541007.93999982</v>
      </c>
      <c r="AA32" s="48">
        <f t="shared" si="11"/>
        <v>436518538.66000003</v>
      </c>
      <c r="AB32" s="87">
        <f t="shared" si="11"/>
        <v>20354208.110000003</v>
      </c>
      <c r="AC32" s="87">
        <f t="shared" si="11"/>
        <v>20367973.300000004</v>
      </c>
      <c r="AD32" s="58"/>
      <c r="AF32" s="87">
        <f t="shared" ref="AF32:AI32" si="12">+SUM(AF10:AF30)</f>
        <v>127907950.52</v>
      </c>
      <c r="AG32" s="87">
        <f t="shared" si="12"/>
        <v>87418233.059999958</v>
      </c>
      <c r="AH32" s="87">
        <f t="shared" si="12"/>
        <v>87418233.059999958</v>
      </c>
      <c r="AI32" s="87">
        <f t="shared" si="12"/>
        <v>85650700.480000004</v>
      </c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79"/>
      <c r="M33" s="1"/>
      <c r="N33" s="79"/>
      <c r="O33" s="1"/>
    </row>
    <row r="34" spans="2:15" x14ac:dyDescent="0.2">
      <c r="B34" s="24" t="s">
        <v>45</v>
      </c>
      <c r="G34" s="1"/>
      <c r="H34" s="1"/>
      <c r="I34" s="1"/>
      <c r="J34" s="1"/>
      <c r="K34" s="1"/>
      <c r="L34" s="79"/>
      <c r="M34" s="1"/>
      <c r="N34" s="79"/>
      <c r="O34" s="1"/>
    </row>
    <row r="35" spans="2:15" x14ac:dyDescent="0.2">
      <c r="H35" s="57"/>
      <c r="N35" s="57"/>
    </row>
    <row r="36" spans="2:15" x14ac:dyDescent="0.2">
      <c r="H36" s="57"/>
    </row>
    <row r="37" spans="2:15" x14ac:dyDescent="0.2">
      <c r="D37" s="25"/>
    </row>
    <row r="38" spans="2:15" x14ac:dyDescent="0.2">
      <c r="D38" s="26" t="s">
        <v>88</v>
      </c>
      <c r="H38" s="153" t="s">
        <v>109</v>
      </c>
      <c r="I38" s="153"/>
      <c r="J38" s="153"/>
      <c r="K38" s="153"/>
      <c r="L38" s="153"/>
      <c r="M38" s="153"/>
      <c r="N38" s="153"/>
      <c r="O38" s="153"/>
    </row>
    <row r="39" spans="2:15" x14ac:dyDescent="0.2">
      <c r="D39" s="26" t="s">
        <v>87</v>
      </c>
      <c r="H39" s="162" t="s">
        <v>89</v>
      </c>
      <c r="I39" s="162"/>
      <c r="J39" s="162"/>
      <c r="K39" s="162"/>
      <c r="L39" s="162"/>
      <c r="M39" s="162"/>
      <c r="N39" s="162"/>
      <c r="O39" s="162"/>
    </row>
    <row r="41" spans="2:15" x14ac:dyDescent="0.2">
      <c r="H41" s="57"/>
    </row>
    <row r="42" spans="2:15" x14ac:dyDescent="0.2">
      <c r="G42" s="63"/>
      <c r="H42" s="57"/>
    </row>
    <row r="43" spans="2:15" x14ac:dyDescent="0.2">
      <c r="G43" s="63" t="s">
        <v>90</v>
      </c>
      <c r="H43" s="57">
        <f>+H10+H14+H17+H18</f>
        <v>80558149</v>
      </c>
      <c r="I43" s="57">
        <f t="shared" ref="I43:O43" si="13">+I10+I14+I17+I18</f>
        <v>54102299.359999999</v>
      </c>
      <c r="J43" s="57">
        <f t="shared" si="13"/>
        <v>134660448.35999998</v>
      </c>
      <c r="K43" s="57">
        <f t="shared" si="13"/>
        <v>125073046.18000001</v>
      </c>
      <c r="L43" s="57">
        <f t="shared" si="13"/>
        <v>125073046.18000001</v>
      </c>
      <c r="M43" s="57">
        <f t="shared" si="13"/>
        <v>125073046.18000001</v>
      </c>
      <c r="N43" s="57">
        <f t="shared" si="13"/>
        <v>123889751.12000002</v>
      </c>
      <c r="O43" s="57">
        <f t="shared" si="13"/>
        <v>9587402.1799999978</v>
      </c>
    </row>
    <row r="44" spans="2:15" x14ac:dyDescent="0.2">
      <c r="G44" s="63" t="s">
        <v>91</v>
      </c>
    </row>
    <row r="45" spans="2:15" x14ac:dyDescent="0.2">
      <c r="G45" s="63" t="s">
        <v>92</v>
      </c>
      <c r="H45" s="57">
        <f>+H11</f>
        <v>1048188.56</v>
      </c>
      <c r="I45" s="57">
        <f t="shared" ref="I45:O45" si="14">+I11</f>
        <v>1033696.82</v>
      </c>
      <c r="J45" s="57">
        <f t="shared" si="14"/>
        <v>2081885.38</v>
      </c>
      <c r="K45" s="57">
        <f t="shared" si="14"/>
        <v>2081885.38</v>
      </c>
      <c r="L45" s="57">
        <f t="shared" si="14"/>
        <v>2081885.38</v>
      </c>
      <c r="M45" s="57">
        <f t="shared" si="14"/>
        <v>2081885.38</v>
      </c>
      <c r="N45" s="57">
        <f t="shared" si="14"/>
        <v>2081885.38</v>
      </c>
      <c r="O45" s="57">
        <f t="shared" si="14"/>
        <v>0</v>
      </c>
    </row>
    <row r="46" spans="2:15" x14ac:dyDescent="0.2">
      <c r="G46" s="63" t="s">
        <v>93</v>
      </c>
      <c r="I46" s="57"/>
    </row>
    <row r="47" spans="2:15" x14ac:dyDescent="0.2">
      <c r="G47" s="63" t="s">
        <v>94</v>
      </c>
      <c r="H47" s="57">
        <f>+H12+H13+H15+H19+H20+H21+H22+H27</f>
        <v>22811942.52</v>
      </c>
      <c r="I47" s="57">
        <f t="shared" ref="I47:O47" si="15">+I12+I13+I15+I19+I20+I21+I22+I27</f>
        <v>30700460.32</v>
      </c>
      <c r="J47" s="57">
        <f t="shared" si="15"/>
        <v>53512402.839999996</v>
      </c>
      <c r="K47" s="57">
        <f t="shared" si="15"/>
        <v>47617869.540000007</v>
      </c>
      <c r="L47" s="57">
        <f t="shared" si="15"/>
        <v>47617869.540000007</v>
      </c>
      <c r="M47" s="57">
        <f t="shared" si="15"/>
        <v>47617869.540000007</v>
      </c>
      <c r="N47" s="57">
        <f t="shared" si="15"/>
        <v>45361659.5</v>
      </c>
      <c r="O47" s="57">
        <f t="shared" si="15"/>
        <v>5894533.2999999998</v>
      </c>
    </row>
    <row r="48" spans="2:15" x14ac:dyDescent="0.2">
      <c r="G48" s="63" t="s">
        <v>95</v>
      </c>
    </row>
    <row r="49" spans="7:15" x14ac:dyDescent="0.2">
      <c r="G49" s="63" t="s">
        <v>98</v>
      </c>
      <c r="H49" s="57">
        <f>+H43+H45+H47</f>
        <v>104418280.08</v>
      </c>
      <c r="I49" s="57">
        <f t="shared" ref="I49:O49" si="16">+I43+I45+I47</f>
        <v>85836456.5</v>
      </c>
      <c r="J49" s="57">
        <f t="shared" si="16"/>
        <v>190254736.57999998</v>
      </c>
      <c r="K49" s="57">
        <f t="shared" si="16"/>
        <v>174772801.10000002</v>
      </c>
      <c r="L49" s="57">
        <f t="shared" si="16"/>
        <v>174772801.10000002</v>
      </c>
      <c r="M49" s="57">
        <f t="shared" si="16"/>
        <v>174772801.10000002</v>
      </c>
      <c r="N49" s="57">
        <f t="shared" si="16"/>
        <v>171333296</v>
      </c>
      <c r="O49" s="57">
        <f t="shared" si="16"/>
        <v>15481935.479999997</v>
      </c>
    </row>
    <row r="50" spans="7:15" x14ac:dyDescent="0.2">
      <c r="G50" s="63" t="s">
        <v>100</v>
      </c>
    </row>
    <row r="51" spans="7:15" x14ac:dyDescent="0.2">
      <c r="G51" s="63" t="s">
        <v>102</v>
      </c>
    </row>
    <row r="52" spans="7:15" x14ac:dyDescent="0.2">
      <c r="G52" s="63" t="s">
        <v>104</v>
      </c>
    </row>
    <row r="53" spans="7:15" x14ac:dyDescent="0.2">
      <c r="G53" s="63" t="s">
        <v>106</v>
      </c>
      <c r="H53" s="57">
        <f>+H11</f>
        <v>1048188.56</v>
      </c>
      <c r="I53" s="57">
        <f t="shared" ref="I53:O53" si="17">+I11</f>
        <v>1033696.82</v>
      </c>
      <c r="J53" s="57">
        <f t="shared" si="17"/>
        <v>2081885.38</v>
      </c>
      <c r="K53" s="57">
        <f t="shared" si="17"/>
        <v>2081885.38</v>
      </c>
      <c r="L53" s="57">
        <f t="shared" si="17"/>
        <v>2081885.38</v>
      </c>
      <c r="M53" s="57">
        <f t="shared" si="17"/>
        <v>2081885.38</v>
      </c>
      <c r="N53" s="57">
        <f t="shared" si="17"/>
        <v>2081885.38</v>
      </c>
      <c r="O53" s="57">
        <f t="shared" si="17"/>
        <v>0</v>
      </c>
    </row>
    <row r="54" spans="7:15" x14ac:dyDescent="0.2">
      <c r="G54" s="63" t="s">
        <v>108</v>
      </c>
    </row>
    <row r="55" spans="7:15" x14ac:dyDescent="0.2">
      <c r="H55" s="57">
        <f>+H14+H17+H18+H16+H24+H25</f>
        <v>61828164.310000002</v>
      </c>
      <c r="I55" s="57">
        <f t="shared" ref="I55:O55" si="18">+I10+I14+I17+I18+I16+I24+I25</f>
        <v>74648729.579999998</v>
      </c>
      <c r="J55" s="57">
        <f t="shared" si="18"/>
        <v>175197599.92999998</v>
      </c>
      <c r="K55" s="57">
        <f t="shared" si="18"/>
        <v>164392695.72000003</v>
      </c>
      <c r="L55" s="57">
        <f t="shared" si="18"/>
        <v>164392695.72000003</v>
      </c>
      <c r="M55" s="57">
        <f t="shared" si="18"/>
        <v>164392695.72000003</v>
      </c>
      <c r="N55" s="57">
        <f t="shared" si="18"/>
        <v>163185174.86000004</v>
      </c>
      <c r="O55" s="57">
        <f t="shared" si="18"/>
        <v>10804904.209999997</v>
      </c>
    </row>
    <row r="57" spans="7:15" x14ac:dyDescent="0.2">
      <c r="H57" s="57">
        <f>+H12+H13+H15+H19+H20+H21+H22+H27+H26+H23</f>
        <v>27366077.789999999</v>
      </c>
      <c r="I57" s="57">
        <f t="shared" ref="I57:O57" si="19">+I12+I13+I15+I19+I20+I21+I22+I27+I26+I23</f>
        <v>32423429.16</v>
      </c>
      <c r="J57" s="57">
        <f t="shared" si="19"/>
        <v>59789506.949999996</v>
      </c>
      <c r="K57" s="57">
        <f t="shared" si="19"/>
        <v>53547888.180000007</v>
      </c>
      <c r="L57" s="57">
        <f t="shared" si="19"/>
        <v>53547888.180000007</v>
      </c>
      <c r="M57" s="57">
        <f t="shared" si="19"/>
        <v>53547888.180000007</v>
      </c>
      <c r="N57" s="57">
        <f t="shared" si="19"/>
        <v>51229009.140000001</v>
      </c>
      <c r="O57" s="57">
        <f t="shared" si="19"/>
        <v>6241618.7699999996</v>
      </c>
    </row>
    <row r="59" spans="7:15" x14ac:dyDescent="0.2">
      <c r="H59" s="57">
        <f>+H53+H55+H57</f>
        <v>90242430.659999996</v>
      </c>
      <c r="I59" s="57">
        <f t="shared" ref="I59:O59" si="20">+I53+I55+I57</f>
        <v>108105855.55999999</v>
      </c>
      <c r="J59" s="57">
        <f t="shared" si="20"/>
        <v>237068992.25999996</v>
      </c>
      <c r="K59" s="57">
        <f t="shared" si="20"/>
        <v>220022469.28000003</v>
      </c>
      <c r="L59" s="57">
        <f t="shared" si="20"/>
        <v>220022469.28000003</v>
      </c>
      <c r="M59" s="57">
        <f t="shared" si="20"/>
        <v>220022469.28000003</v>
      </c>
      <c r="N59" s="57">
        <f t="shared" si="20"/>
        <v>216496069.38000005</v>
      </c>
      <c r="O59" s="57">
        <f t="shared" si="20"/>
        <v>17046522.979999997</v>
      </c>
    </row>
    <row r="60" spans="7:15" x14ac:dyDescent="0.2">
      <c r="H60" s="57">
        <f>+H32-H59</f>
        <v>38720706.040000007</v>
      </c>
      <c r="I60" s="57">
        <f t="shared" ref="I60:O60" si="21">+I32-I59</f>
        <v>4087875.7500000149</v>
      </c>
      <c r="J60" s="57">
        <f t="shared" si="21"/>
        <v>4087875.7500000298</v>
      </c>
      <c r="K60" s="57">
        <f t="shared" si="21"/>
        <v>4008425.2399999797</v>
      </c>
      <c r="L60" s="57">
        <f t="shared" si="21"/>
        <v>4008425.2399999797</v>
      </c>
      <c r="M60" s="57">
        <f t="shared" si="21"/>
        <v>4008425.2399999797</v>
      </c>
      <c r="N60" s="57">
        <f t="shared" si="21"/>
        <v>2594363.4899999499</v>
      </c>
      <c r="O60" s="57">
        <f t="shared" si="21"/>
        <v>79450.510000001639</v>
      </c>
    </row>
    <row r="62" spans="7:15" x14ac:dyDescent="0.2">
      <c r="H62" s="15">
        <v>74413983.709999993</v>
      </c>
    </row>
    <row r="63" spans="7:15" x14ac:dyDescent="0.2">
      <c r="H63" s="57">
        <f>+H57-H62</f>
        <v>-47047905.919999994</v>
      </c>
    </row>
    <row r="69" spans="7:10" x14ac:dyDescent="0.2">
      <c r="G69" s="63"/>
    </row>
    <row r="70" spans="7:10" x14ac:dyDescent="0.2">
      <c r="G70" s="63"/>
      <c r="H70" s="64"/>
      <c r="I70" s="57"/>
      <c r="J70" s="57"/>
    </row>
    <row r="71" spans="7:10" x14ac:dyDescent="0.2">
      <c r="G71" s="63"/>
      <c r="H71" s="64"/>
      <c r="J71" s="57"/>
    </row>
    <row r="72" spans="7:10" x14ac:dyDescent="0.2">
      <c r="G72" s="63"/>
      <c r="H72" s="64"/>
      <c r="J72" s="57"/>
    </row>
    <row r="73" spans="7:10" x14ac:dyDescent="0.2">
      <c r="G73" s="63"/>
      <c r="H73" s="64"/>
    </row>
    <row r="74" spans="7:10" x14ac:dyDescent="0.2">
      <c r="G74" s="63"/>
      <c r="H74" s="64"/>
    </row>
    <row r="75" spans="7:10" x14ac:dyDescent="0.2">
      <c r="G75" s="63"/>
      <c r="H75" s="64"/>
    </row>
    <row r="76" spans="7:10" x14ac:dyDescent="0.2">
      <c r="G76" s="63"/>
      <c r="H76" s="64"/>
    </row>
    <row r="77" spans="7:10" x14ac:dyDescent="0.2">
      <c r="G77" s="63"/>
      <c r="H77" s="64"/>
    </row>
    <row r="78" spans="7:10" x14ac:dyDescent="0.2">
      <c r="G78" s="63"/>
      <c r="H78" s="64"/>
    </row>
    <row r="79" spans="7:10" x14ac:dyDescent="0.2">
      <c r="G79" s="63"/>
      <c r="H79" s="64"/>
    </row>
    <row r="80" spans="7:10" x14ac:dyDescent="0.2">
      <c r="G80" s="63"/>
      <c r="H80" s="64"/>
    </row>
    <row r="81" spans="7:15" x14ac:dyDescent="0.2">
      <c r="G81" s="63"/>
      <c r="H81" s="64"/>
    </row>
    <row r="82" spans="7:15" x14ac:dyDescent="0.2">
      <c r="G82" s="63"/>
      <c r="H82" s="64"/>
    </row>
    <row r="89" spans="7:15" x14ac:dyDescent="0.2">
      <c r="G89" s="57"/>
    </row>
    <row r="90" spans="7:15" x14ac:dyDescent="0.2">
      <c r="H90" s="57"/>
      <c r="I90" s="57"/>
      <c r="J90" s="57"/>
      <c r="K90" s="57"/>
      <c r="L90" s="57"/>
      <c r="M90" s="57"/>
      <c r="N90" s="57"/>
      <c r="O90" s="57"/>
    </row>
    <row r="91" spans="7:15" x14ac:dyDescent="0.2">
      <c r="H91" s="57">
        <f>+H13</f>
        <v>2272862.88</v>
      </c>
      <c r="I91" s="57">
        <f t="shared" ref="I91:O91" si="22">+I13</f>
        <v>2915024.91</v>
      </c>
      <c r="J91" s="57">
        <f t="shared" si="22"/>
        <v>5187887.79</v>
      </c>
      <c r="K91" s="57">
        <f t="shared" si="22"/>
        <v>5179059.2</v>
      </c>
      <c r="L91" s="57">
        <f t="shared" si="22"/>
        <v>5179059.2</v>
      </c>
      <c r="M91" s="57">
        <f t="shared" si="22"/>
        <v>5179059.2</v>
      </c>
      <c r="N91" s="57">
        <f t="shared" si="22"/>
        <v>5177391.7</v>
      </c>
      <c r="O91" s="57">
        <f t="shared" si="22"/>
        <v>8828.589999999851</v>
      </c>
    </row>
    <row r="94" spans="7:15" x14ac:dyDescent="0.2">
      <c r="H94" s="57">
        <f>+H14+H15+H16+H19+H20+H21+H22+H27+H24+H25+H26+H28+H29</f>
        <v>70500908.960000008</v>
      </c>
      <c r="I94" s="57">
        <f t="shared" ref="I94:O94" si="23">+I14+I15+I16+I19+I20+I21+I22+I27+I24+I25+I26+I28+I29</f>
        <v>88950217.25</v>
      </c>
      <c r="J94" s="57">
        <f t="shared" si="23"/>
        <v>159451126.20999998</v>
      </c>
      <c r="K94" s="57">
        <f t="shared" si="23"/>
        <v>150132659.57999998</v>
      </c>
      <c r="L94" s="57">
        <f t="shared" si="23"/>
        <v>150132659.57999998</v>
      </c>
      <c r="M94" s="57">
        <f t="shared" si="23"/>
        <v>150132659.57999998</v>
      </c>
      <c r="N94" s="57">
        <f t="shared" si="23"/>
        <v>147772877.14999998</v>
      </c>
      <c r="O94" s="57">
        <f t="shared" si="23"/>
        <v>9318466.6299999971</v>
      </c>
    </row>
    <row r="96" spans="7:15" x14ac:dyDescent="0.2">
      <c r="H96" s="57">
        <f>+H10+H11+H12+H17+H18+H23+H30+H31</f>
        <v>56189364.860000007</v>
      </c>
      <c r="I96" s="57">
        <f t="shared" ref="I96:O96" si="24">+I10+I11+I12+I17+I18+I23+I30+I31</f>
        <v>20328489.150000002</v>
      </c>
      <c r="J96" s="57">
        <f t="shared" si="24"/>
        <v>76517854.010000005</v>
      </c>
      <c r="K96" s="57">
        <f t="shared" si="24"/>
        <v>68719175.74000001</v>
      </c>
      <c r="L96" s="57">
        <f t="shared" si="24"/>
        <v>68719175.74000001</v>
      </c>
      <c r="M96" s="57">
        <f t="shared" si="24"/>
        <v>68719175.74000001</v>
      </c>
      <c r="N96" s="57">
        <f t="shared" si="24"/>
        <v>66140164.020000003</v>
      </c>
      <c r="O96" s="57">
        <f t="shared" si="24"/>
        <v>7798678.2699999996</v>
      </c>
    </row>
    <row r="98" spans="8:15" x14ac:dyDescent="0.2">
      <c r="H98" s="58">
        <f>+H91+H94+H96</f>
        <v>128963136.70000002</v>
      </c>
      <c r="I98" s="58">
        <f t="shared" ref="I98:O98" si="25">+I91+I94+I96</f>
        <v>112193731.31</v>
      </c>
      <c r="J98" s="58">
        <f t="shared" si="25"/>
        <v>241156868.00999999</v>
      </c>
      <c r="K98" s="58">
        <f t="shared" si="25"/>
        <v>224030894.51999998</v>
      </c>
      <c r="L98" s="58">
        <f t="shared" si="25"/>
        <v>224030894.51999998</v>
      </c>
      <c r="M98" s="58">
        <f t="shared" si="25"/>
        <v>224030894.51999998</v>
      </c>
      <c r="N98" s="58">
        <f t="shared" si="25"/>
        <v>219090432.86999997</v>
      </c>
      <c r="O98" s="58">
        <f t="shared" si="25"/>
        <v>17125973.489999995</v>
      </c>
    </row>
    <row r="99" spans="8:15" x14ac:dyDescent="0.2">
      <c r="H99" s="57">
        <f>+H32-H98</f>
        <v>0</v>
      </c>
      <c r="I99" s="57">
        <f t="shared" ref="I99:O99" si="26">+I32-I98</f>
        <v>0</v>
      </c>
      <c r="J99" s="57">
        <f t="shared" si="26"/>
        <v>0</v>
      </c>
      <c r="K99" s="57">
        <f t="shared" si="26"/>
        <v>0</v>
      </c>
      <c r="L99" s="57">
        <f t="shared" si="26"/>
        <v>0</v>
      </c>
      <c r="M99" s="57">
        <f t="shared" si="26"/>
        <v>0</v>
      </c>
      <c r="N99" s="57">
        <f t="shared" si="26"/>
        <v>0</v>
      </c>
      <c r="O99" s="57">
        <f t="shared" si="26"/>
        <v>0</v>
      </c>
    </row>
  </sheetData>
  <mergeCells count="14">
    <mergeCell ref="P32:Q32"/>
    <mergeCell ref="H38:O38"/>
    <mergeCell ref="H39:O39"/>
    <mergeCell ref="C32:D32"/>
    <mergeCell ref="P7:Q7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4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44"/>
  <sheetViews>
    <sheetView showGridLines="0" zoomScale="85" zoomScaleNormal="85" workbookViewId="0">
      <selection activeCell="F15" sqref="F15"/>
    </sheetView>
  </sheetViews>
  <sheetFormatPr baseColWidth="10" defaultRowHeight="12.75" x14ac:dyDescent="0.2"/>
  <cols>
    <col min="1" max="1" width="13.5703125" style="1" customWidth="1"/>
    <col min="2" max="2" width="8.5703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13" width="12.7109375" style="15" customWidth="1"/>
    <col min="14" max="14" width="11.42578125" style="15" customWidth="1"/>
    <col min="15" max="15" width="12.85546875" style="15" customWidth="1"/>
    <col min="16" max="16" width="10.85546875" style="1" customWidth="1"/>
    <col min="17" max="20" width="11.42578125" style="15"/>
    <col min="21" max="21" width="15" style="15" customWidth="1"/>
    <col min="22" max="22" width="14.140625" style="15" customWidth="1"/>
    <col min="23" max="23" width="13.7109375" style="15" customWidth="1"/>
    <col min="24" max="16384" width="11.42578125" style="15"/>
  </cols>
  <sheetData>
    <row r="1" spans="1:28" ht="6" customHeight="1" x14ac:dyDescent="0.2">
      <c r="B1" s="135" t="s">
        <v>57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8" ht="13.5" customHeight="1" x14ac:dyDescent="0.2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28" ht="20.25" customHeight="1" x14ac:dyDescent="0.2">
      <c r="B3" s="135" t="s">
        <v>147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65" t="s">
        <v>58</v>
      </c>
      <c r="C7" s="166"/>
      <c r="D7" s="167" t="s">
        <v>59</v>
      </c>
      <c r="E7" s="168"/>
      <c r="F7" s="168"/>
      <c r="G7" s="168"/>
      <c r="H7" s="169"/>
      <c r="I7" s="170" t="s">
        <v>60</v>
      </c>
      <c r="J7" s="170"/>
      <c r="K7" s="170"/>
      <c r="L7" s="170"/>
      <c r="M7" s="170"/>
      <c r="N7" s="170"/>
      <c r="O7" s="170"/>
      <c r="P7" s="170" t="s">
        <v>61</v>
      </c>
      <c r="Q7" s="170"/>
      <c r="R7" s="170"/>
      <c r="S7" s="170"/>
      <c r="T7" s="170"/>
      <c r="U7" s="170" t="s">
        <v>62</v>
      </c>
      <c r="V7" s="170"/>
      <c r="W7" s="170"/>
      <c r="X7" s="170"/>
      <c r="Y7" s="170"/>
    </row>
    <row r="8" spans="1:28" x14ac:dyDescent="0.2">
      <c r="B8" s="171" t="s">
        <v>63</v>
      </c>
      <c r="C8" s="171" t="s">
        <v>64</v>
      </c>
      <c r="D8" s="173" t="s">
        <v>65</v>
      </c>
      <c r="E8" s="173" t="s">
        <v>66</v>
      </c>
      <c r="F8" s="173" t="s">
        <v>67</v>
      </c>
      <c r="G8" s="173" t="s">
        <v>68</v>
      </c>
      <c r="H8" s="173" t="s">
        <v>49</v>
      </c>
      <c r="I8" s="176" t="s">
        <v>69</v>
      </c>
      <c r="J8" s="176" t="s">
        <v>70</v>
      </c>
      <c r="K8" s="176" t="s">
        <v>71</v>
      </c>
      <c r="L8" s="176" t="s">
        <v>72</v>
      </c>
      <c r="M8" s="176" t="s">
        <v>73</v>
      </c>
      <c r="N8" s="176" t="s">
        <v>74</v>
      </c>
      <c r="O8" s="176" t="s">
        <v>75</v>
      </c>
      <c r="P8" s="176" t="s">
        <v>76</v>
      </c>
      <c r="Q8" s="176" t="s">
        <v>77</v>
      </c>
      <c r="R8" s="176" t="s">
        <v>78</v>
      </c>
      <c r="S8" s="180" t="s">
        <v>79</v>
      </c>
      <c r="T8" s="181"/>
      <c r="U8" s="176" t="s">
        <v>5</v>
      </c>
      <c r="V8" s="176" t="s">
        <v>7</v>
      </c>
      <c r="W8" s="176" t="s">
        <v>9</v>
      </c>
      <c r="X8" s="180" t="s">
        <v>80</v>
      </c>
      <c r="Y8" s="181"/>
    </row>
    <row r="9" spans="1:28" ht="24" customHeight="1" x14ac:dyDescent="0.2">
      <c r="B9" s="172"/>
      <c r="C9" s="172"/>
      <c r="D9" s="174"/>
      <c r="E9" s="175"/>
      <c r="F9" s="175"/>
      <c r="G9" s="175"/>
      <c r="H9" s="175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33" t="s">
        <v>81</v>
      </c>
      <c r="T9" s="33" t="s">
        <v>82</v>
      </c>
      <c r="U9" s="179"/>
      <c r="V9" s="177"/>
      <c r="W9" s="177"/>
      <c r="X9" s="44" t="s">
        <v>83</v>
      </c>
      <c r="Y9" s="44" t="s">
        <v>84</v>
      </c>
    </row>
    <row r="10" spans="1:28" ht="51" x14ac:dyDescent="0.2">
      <c r="A10" s="40" t="s">
        <v>115</v>
      </c>
      <c r="B10" s="113" t="s">
        <v>148</v>
      </c>
      <c r="C10" s="113" t="s">
        <v>149</v>
      </c>
      <c r="D10" s="114" t="s">
        <v>150</v>
      </c>
      <c r="E10" s="115" t="s">
        <v>151</v>
      </c>
      <c r="F10" s="115" t="s">
        <v>152</v>
      </c>
      <c r="G10" s="113" t="s">
        <v>115</v>
      </c>
      <c r="H10" s="116">
        <v>601</v>
      </c>
      <c r="I10" s="113" t="s">
        <v>153</v>
      </c>
      <c r="J10" s="117"/>
      <c r="K10" s="117"/>
      <c r="L10" s="117"/>
      <c r="M10" s="117"/>
      <c r="N10" s="117"/>
      <c r="O10" s="117"/>
      <c r="P10" s="118"/>
      <c r="Q10" s="119"/>
      <c r="R10" s="119"/>
      <c r="S10" s="120"/>
      <c r="T10" s="120"/>
      <c r="U10" s="67">
        <f>+PyPI!H10</f>
        <v>38720706.039999999</v>
      </c>
      <c r="V10" s="106">
        <f>+PyPI!J10</f>
        <v>45193539.399999999</v>
      </c>
      <c r="W10" s="105">
        <f>+PyPI!L10</f>
        <v>39732089.859999999</v>
      </c>
      <c r="X10" s="94">
        <f>+PyPI!P10</f>
        <v>1.0261199736119275</v>
      </c>
      <c r="Y10" s="50">
        <f>+PyPI!Q10</f>
        <v>0.87915419742495315</v>
      </c>
      <c r="AA10" s="59"/>
      <c r="AB10" s="60"/>
    </row>
    <row r="11" spans="1:28" ht="51" x14ac:dyDescent="0.2">
      <c r="A11" s="40" t="s">
        <v>117</v>
      </c>
      <c r="B11" s="113" t="s">
        <v>148</v>
      </c>
      <c r="C11" s="113" t="s">
        <v>149</v>
      </c>
      <c r="D11" s="114" t="s">
        <v>154</v>
      </c>
      <c r="E11" s="115" t="s">
        <v>155</v>
      </c>
      <c r="F11" s="115" t="s">
        <v>156</v>
      </c>
      <c r="G11" s="113" t="s">
        <v>117</v>
      </c>
      <c r="H11" s="116">
        <v>101</v>
      </c>
      <c r="I11" s="113" t="s">
        <v>153</v>
      </c>
      <c r="J11" s="121"/>
      <c r="K11" s="121"/>
      <c r="L11" s="121"/>
      <c r="M11" s="121"/>
      <c r="N11" s="121"/>
      <c r="O11" s="121"/>
      <c r="P11" s="118"/>
      <c r="Q11" s="119"/>
      <c r="R11" s="119"/>
      <c r="S11" s="120"/>
      <c r="T11" s="120"/>
      <c r="U11" s="67">
        <f>+PyPI!H11</f>
        <v>1048188.56</v>
      </c>
      <c r="V11" s="88">
        <f>+PyPI!J11</f>
        <v>2081885.38</v>
      </c>
      <c r="W11" s="99">
        <f>+PyPI!L11</f>
        <v>2081885.38</v>
      </c>
      <c r="X11" s="95">
        <f>+PyPI!P11</f>
        <v>1.9861744913529678</v>
      </c>
      <c r="Y11" s="51">
        <f>+PyPI!Q11</f>
        <v>1</v>
      </c>
      <c r="AA11" s="59"/>
      <c r="AB11" s="60"/>
    </row>
    <row r="12" spans="1:28" ht="51" x14ac:dyDescent="0.2">
      <c r="A12" s="40" t="s">
        <v>118</v>
      </c>
      <c r="B12" s="113" t="s">
        <v>148</v>
      </c>
      <c r="C12" s="113" t="s">
        <v>149</v>
      </c>
      <c r="D12" s="114" t="s">
        <v>157</v>
      </c>
      <c r="E12" s="115" t="s">
        <v>158</v>
      </c>
      <c r="F12" s="115" t="s">
        <v>159</v>
      </c>
      <c r="G12" s="113" t="s">
        <v>118</v>
      </c>
      <c r="H12" s="116">
        <v>101</v>
      </c>
      <c r="I12" s="113" t="s">
        <v>153</v>
      </c>
      <c r="J12" s="121"/>
      <c r="K12" s="121"/>
      <c r="L12" s="121"/>
      <c r="M12" s="121"/>
      <c r="N12" s="121"/>
      <c r="O12" s="121"/>
      <c r="P12" s="118"/>
      <c r="Q12" s="119"/>
      <c r="R12" s="119"/>
      <c r="S12" s="120"/>
      <c r="T12" s="120"/>
      <c r="U12" s="67">
        <f>+PyPI!H12</f>
        <v>10168808.01</v>
      </c>
      <c r="V12" s="88">
        <f>+PyPI!J12</f>
        <v>19073191.190000001</v>
      </c>
      <c r="W12" s="99">
        <f>+PyPI!L12</f>
        <v>17472885.91</v>
      </c>
      <c r="X12" s="95">
        <f>+PyPI!P12</f>
        <v>1.7182826042951322</v>
      </c>
      <c r="Y12" s="51">
        <f>+PyPI!Q12</f>
        <v>0.91609661623698113</v>
      </c>
      <c r="AA12" s="59"/>
      <c r="AB12" s="60"/>
    </row>
    <row r="13" spans="1:28" ht="51" x14ac:dyDescent="0.2">
      <c r="A13" s="40" t="s">
        <v>120</v>
      </c>
      <c r="B13" s="113" t="s">
        <v>148</v>
      </c>
      <c r="C13" s="113" t="s">
        <v>149</v>
      </c>
      <c r="D13" s="114" t="s">
        <v>160</v>
      </c>
      <c r="E13" s="115" t="s">
        <v>161</v>
      </c>
      <c r="F13" s="115" t="s">
        <v>162</v>
      </c>
      <c r="G13" s="113" t="s">
        <v>120</v>
      </c>
      <c r="H13" s="116">
        <v>101</v>
      </c>
      <c r="I13" s="113" t="s">
        <v>153</v>
      </c>
      <c r="J13" s="121"/>
      <c r="K13" s="121"/>
      <c r="L13" s="121"/>
      <c r="M13" s="121"/>
      <c r="N13" s="121"/>
      <c r="O13" s="121"/>
      <c r="P13" s="118"/>
      <c r="Q13" s="119"/>
      <c r="R13" s="119"/>
      <c r="S13" s="120"/>
      <c r="T13" s="120"/>
      <c r="U13" s="67">
        <f>+PyPI!H13</f>
        <v>2272862.88</v>
      </c>
      <c r="V13" s="88">
        <f>+PyPI!J13</f>
        <v>5187887.79</v>
      </c>
      <c r="W13" s="99">
        <f>+PyPI!L13</f>
        <v>5179059.2</v>
      </c>
      <c r="X13" s="95">
        <f>+PyPI!P13</f>
        <v>2.2786500873295097</v>
      </c>
      <c r="Y13" s="51">
        <f>+PyPI!Q13</f>
        <v>0.99829823034780796</v>
      </c>
      <c r="AA13" s="59"/>
      <c r="AB13" s="60"/>
    </row>
    <row r="14" spans="1:28" ht="89.25" x14ac:dyDescent="0.2">
      <c r="A14" s="40" t="s">
        <v>91</v>
      </c>
      <c r="B14" s="122" t="s">
        <v>148</v>
      </c>
      <c r="C14" s="122" t="s">
        <v>149</v>
      </c>
      <c r="D14" s="123" t="s">
        <v>163</v>
      </c>
      <c r="E14" s="124" t="s">
        <v>164</v>
      </c>
      <c r="F14" s="124" t="s">
        <v>165</v>
      </c>
      <c r="G14" s="122" t="s">
        <v>91</v>
      </c>
      <c r="H14" s="125">
        <v>201</v>
      </c>
      <c r="I14" s="122" t="s">
        <v>166</v>
      </c>
      <c r="J14" s="122" t="s">
        <v>167</v>
      </c>
      <c r="K14" s="122" t="s">
        <v>168</v>
      </c>
      <c r="L14" s="122" t="s">
        <v>169</v>
      </c>
      <c r="M14" s="122" t="s">
        <v>170</v>
      </c>
      <c r="N14" s="122" t="s">
        <v>168</v>
      </c>
      <c r="O14" s="122" t="s">
        <v>171</v>
      </c>
      <c r="P14" s="126">
        <v>100</v>
      </c>
      <c r="Q14" s="126">
        <v>100</v>
      </c>
      <c r="R14" s="126">
        <v>100</v>
      </c>
      <c r="S14" s="127">
        <f t="shared" ref="S14:S32" si="0">R14/P14</f>
        <v>1</v>
      </c>
      <c r="T14" s="128">
        <f t="shared" ref="T14:T32" si="1">R14/Q14</f>
        <v>1</v>
      </c>
      <c r="U14" s="67">
        <f>+PyPI!H14</f>
        <v>36901470.229999997</v>
      </c>
      <c r="V14" s="88">
        <f>+PyPI!J14</f>
        <v>82772984.390000001</v>
      </c>
      <c r="W14" s="99">
        <f>+PyPI!L14</f>
        <v>79355292.280000001</v>
      </c>
      <c r="X14" s="95">
        <f>+PyPI!P14</f>
        <v>2.1504642439825088</v>
      </c>
      <c r="Y14" s="51">
        <f>+PyPI!Q14</f>
        <v>0.95871005334425397</v>
      </c>
      <c r="AA14" s="59"/>
      <c r="AB14" s="60"/>
    </row>
    <row r="15" spans="1:28" ht="191.25" x14ac:dyDescent="0.2">
      <c r="A15" s="40" t="s">
        <v>92</v>
      </c>
      <c r="B15" s="113" t="s">
        <v>148</v>
      </c>
      <c r="C15" s="113" t="s">
        <v>149</v>
      </c>
      <c r="D15" s="114" t="s">
        <v>172</v>
      </c>
      <c r="E15" s="115" t="s">
        <v>173</v>
      </c>
      <c r="F15" s="115" t="s">
        <v>174</v>
      </c>
      <c r="G15" s="113" t="s">
        <v>92</v>
      </c>
      <c r="H15" s="116">
        <v>201</v>
      </c>
      <c r="I15" s="129" t="s">
        <v>175</v>
      </c>
      <c r="J15" s="113" t="s">
        <v>167</v>
      </c>
      <c r="K15" s="113" t="s">
        <v>168</v>
      </c>
      <c r="L15" s="113" t="s">
        <v>169</v>
      </c>
      <c r="M15" s="113" t="s">
        <v>170</v>
      </c>
      <c r="N15" s="113" t="s">
        <v>168</v>
      </c>
      <c r="O15" s="129" t="s">
        <v>176</v>
      </c>
      <c r="P15" s="130">
        <v>71.88</v>
      </c>
      <c r="Q15" s="126">
        <v>71.88</v>
      </c>
      <c r="R15" s="126">
        <v>74.88</v>
      </c>
      <c r="S15" s="127">
        <f t="shared" si="0"/>
        <v>1.0417362270450752</v>
      </c>
      <c r="T15" s="128">
        <f t="shared" si="1"/>
        <v>1.0417362270450752</v>
      </c>
      <c r="U15" s="67">
        <f>+PyPI!H15</f>
        <v>570268.31000000006</v>
      </c>
      <c r="V15" s="88">
        <f>+PyPI!J15</f>
        <v>1108349.6299999999</v>
      </c>
      <c r="W15" s="99">
        <f>+PyPI!L15</f>
        <v>1108349.6200000001</v>
      </c>
      <c r="X15" s="95">
        <f>+PyPI!P15</f>
        <v>1.9435581472167023</v>
      </c>
      <c r="Y15" s="51">
        <f>+PyPI!Q15</f>
        <v>0.99999999097757652</v>
      </c>
      <c r="AA15" s="59"/>
      <c r="AB15" s="60"/>
    </row>
    <row r="16" spans="1:28" ht="191.25" x14ac:dyDescent="0.2">
      <c r="A16" s="40" t="s">
        <v>94</v>
      </c>
      <c r="B16" s="113" t="s">
        <v>148</v>
      </c>
      <c r="C16" s="113" t="s">
        <v>149</v>
      </c>
      <c r="D16" s="114" t="s">
        <v>177</v>
      </c>
      <c r="E16" s="115" t="s">
        <v>178</v>
      </c>
      <c r="F16" s="115" t="s">
        <v>179</v>
      </c>
      <c r="G16" s="113" t="s">
        <v>94</v>
      </c>
      <c r="H16" s="116">
        <v>201</v>
      </c>
      <c r="I16" s="129" t="s">
        <v>180</v>
      </c>
      <c r="J16" s="113" t="s">
        <v>167</v>
      </c>
      <c r="K16" s="113" t="s">
        <v>168</v>
      </c>
      <c r="L16" s="113" t="s">
        <v>169</v>
      </c>
      <c r="M16" s="113" t="s">
        <v>170</v>
      </c>
      <c r="N16" s="113" t="s">
        <v>168</v>
      </c>
      <c r="O16" s="129" t="s">
        <v>181</v>
      </c>
      <c r="P16" s="130">
        <v>100</v>
      </c>
      <c r="Q16" s="126">
        <v>100</v>
      </c>
      <c r="R16" s="126">
        <v>100</v>
      </c>
      <c r="S16" s="127">
        <f t="shared" si="0"/>
        <v>1</v>
      </c>
      <c r="T16" s="128">
        <f t="shared" si="1"/>
        <v>1</v>
      </c>
      <c r="U16" s="67">
        <f>+PyPI!H16</f>
        <v>12618157.24</v>
      </c>
      <c r="V16" s="88">
        <f>+PyPI!J16</f>
        <v>25100546.370000001</v>
      </c>
      <c r="W16" s="99">
        <f>+PyPI!L16</f>
        <v>25100546.370000001</v>
      </c>
      <c r="X16" s="95">
        <f>+PyPI!P16</f>
        <v>1.9892402585086189</v>
      </c>
      <c r="Y16" s="51">
        <f>+PyPI!Q16</f>
        <v>1</v>
      </c>
      <c r="AA16" s="59"/>
      <c r="AB16" s="60"/>
    </row>
    <row r="17" spans="1:28" ht="216.75" x14ac:dyDescent="0.2">
      <c r="A17" s="40"/>
      <c r="B17" s="113" t="s">
        <v>148</v>
      </c>
      <c r="C17" s="113" t="s">
        <v>149</v>
      </c>
      <c r="D17" s="114" t="s">
        <v>177</v>
      </c>
      <c r="E17" s="115" t="s">
        <v>178</v>
      </c>
      <c r="F17" s="115" t="s">
        <v>179</v>
      </c>
      <c r="G17" s="113" t="s">
        <v>94</v>
      </c>
      <c r="H17" s="116">
        <v>201</v>
      </c>
      <c r="I17" s="131" t="s">
        <v>182</v>
      </c>
      <c r="J17" s="122" t="s">
        <v>167</v>
      </c>
      <c r="K17" s="113" t="s">
        <v>168</v>
      </c>
      <c r="L17" s="113" t="s">
        <v>169</v>
      </c>
      <c r="M17" s="113" t="s">
        <v>170</v>
      </c>
      <c r="N17" s="113" t="s">
        <v>168</v>
      </c>
      <c r="O17" s="129" t="s">
        <v>183</v>
      </c>
      <c r="P17" s="130">
        <v>100</v>
      </c>
      <c r="Q17" s="126">
        <v>100</v>
      </c>
      <c r="R17" s="126">
        <v>100</v>
      </c>
      <c r="S17" s="127">
        <f t="shared" si="0"/>
        <v>1</v>
      </c>
      <c r="T17" s="128">
        <f t="shared" si="1"/>
        <v>1</v>
      </c>
      <c r="U17" s="67"/>
      <c r="V17" s="88"/>
      <c r="W17" s="99"/>
      <c r="X17" s="95"/>
      <c r="Y17" s="51"/>
      <c r="AA17" s="59"/>
      <c r="AB17" s="60"/>
    </row>
    <row r="18" spans="1:28" ht="191.25" x14ac:dyDescent="0.2">
      <c r="A18" s="40" t="s">
        <v>95</v>
      </c>
      <c r="B18" s="117" t="s">
        <v>148</v>
      </c>
      <c r="C18" s="132" t="s">
        <v>149</v>
      </c>
      <c r="D18" s="113" t="s">
        <v>197</v>
      </c>
      <c r="E18" s="117" t="s">
        <v>198</v>
      </c>
      <c r="F18" s="117" t="s">
        <v>199</v>
      </c>
      <c r="G18" s="117" t="s">
        <v>122</v>
      </c>
      <c r="H18" s="116">
        <v>601</v>
      </c>
      <c r="I18" s="117" t="s">
        <v>200</v>
      </c>
      <c r="J18" s="117" t="s">
        <v>167</v>
      </c>
      <c r="K18" s="117" t="s">
        <v>168</v>
      </c>
      <c r="L18" s="117" t="s">
        <v>184</v>
      </c>
      <c r="M18" s="117" t="s">
        <v>170</v>
      </c>
      <c r="N18" s="117" t="s">
        <v>168</v>
      </c>
      <c r="O18" s="117" t="s">
        <v>201</v>
      </c>
      <c r="P18" s="118">
        <v>97.04</v>
      </c>
      <c r="Q18" s="119">
        <v>97.04</v>
      </c>
      <c r="R18" s="119">
        <v>97</v>
      </c>
      <c r="S18" s="127">
        <f t="shared" si="0"/>
        <v>0.99958779884583671</v>
      </c>
      <c r="T18" s="128">
        <f t="shared" si="1"/>
        <v>0.99958779884583671</v>
      </c>
      <c r="U18" s="67">
        <f>+PyPI!H17</f>
        <v>2868058.7</v>
      </c>
      <c r="V18" s="88">
        <f>+PyPI!J17</f>
        <v>4167522.04</v>
      </c>
      <c r="W18" s="99">
        <f>+PyPI!L17</f>
        <v>4052017.12</v>
      </c>
      <c r="X18" s="95">
        <f>+PyPI!P17</f>
        <v>1.4128082943351195</v>
      </c>
      <c r="Y18" s="51">
        <f>+PyPI!Q17</f>
        <v>0.97228450890208129</v>
      </c>
      <c r="AA18" s="59"/>
      <c r="AB18" s="60"/>
    </row>
    <row r="19" spans="1:28" ht="89.25" x14ac:dyDescent="0.2">
      <c r="A19" s="40" t="s">
        <v>98</v>
      </c>
      <c r="B19" s="117" t="s">
        <v>148</v>
      </c>
      <c r="C19" s="132" t="s">
        <v>149</v>
      </c>
      <c r="D19" s="113" t="s">
        <v>202</v>
      </c>
      <c r="E19" s="117" t="s">
        <v>203</v>
      </c>
      <c r="F19" s="117" t="s">
        <v>204</v>
      </c>
      <c r="G19" s="117" t="s">
        <v>123</v>
      </c>
      <c r="H19" s="116">
        <v>1102</v>
      </c>
      <c r="I19" s="117" t="s">
        <v>166</v>
      </c>
      <c r="J19" s="117" t="s">
        <v>167</v>
      </c>
      <c r="K19" s="117" t="s">
        <v>168</v>
      </c>
      <c r="L19" s="117" t="s">
        <v>169</v>
      </c>
      <c r="M19" s="117" t="s">
        <v>170</v>
      </c>
      <c r="N19" s="117" t="s">
        <v>168</v>
      </c>
      <c r="O19" s="117" t="s">
        <v>171</v>
      </c>
      <c r="P19" s="118">
        <v>94.44</v>
      </c>
      <c r="Q19" s="119">
        <v>94.44</v>
      </c>
      <c r="R19" s="119">
        <v>100</v>
      </c>
      <c r="S19" s="127">
        <f t="shared" si="0"/>
        <v>1.058873358746294</v>
      </c>
      <c r="T19" s="128">
        <f t="shared" si="1"/>
        <v>1.058873358746294</v>
      </c>
      <c r="U19" s="67">
        <f>+PyPI!H18</f>
        <v>2067914.03</v>
      </c>
      <c r="V19" s="88">
        <f>+PyPI!J18</f>
        <v>2526402.5299999998</v>
      </c>
      <c r="W19" s="99">
        <f>+PyPI!L18</f>
        <v>1933646.92</v>
      </c>
      <c r="X19" s="95">
        <f>+PyPI!P18</f>
        <v>0.93507123214401711</v>
      </c>
      <c r="Y19" s="51">
        <f>+PyPI!Q18</f>
        <v>0.76537562682063975</v>
      </c>
      <c r="AA19" s="59"/>
      <c r="AB19" s="60"/>
    </row>
    <row r="20" spans="1:28" ht="89.25" x14ac:dyDescent="0.2">
      <c r="A20" s="40" t="s">
        <v>100</v>
      </c>
      <c r="B20" s="117" t="s">
        <v>148</v>
      </c>
      <c r="C20" s="132" t="s">
        <v>149</v>
      </c>
      <c r="D20" s="113" t="s">
        <v>205</v>
      </c>
      <c r="E20" s="117" t="s">
        <v>206</v>
      </c>
      <c r="F20" s="117" t="s">
        <v>207</v>
      </c>
      <c r="G20" s="117" t="s">
        <v>124</v>
      </c>
      <c r="H20" s="116">
        <v>1101</v>
      </c>
      <c r="I20" s="117" t="s">
        <v>166</v>
      </c>
      <c r="J20" s="117" t="s">
        <v>167</v>
      </c>
      <c r="K20" s="117" t="s">
        <v>168</v>
      </c>
      <c r="L20" s="117" t="s">
        <v>169</v>
      </c>
      <c r="M20" s="117" t="s">
        <v>170</v>
      </c>
      <c r="N20" s="117" t="s">
        <v>168</v>
      </c>
      <c r="O20" s="117" t="s">
        <v>171</v>
      </c>
      <c r="P20" s="118">
        <v>95.24</v>
      </c>
      <c r="Q20" s="119">
        <v>95.24</v>
      </c>
      <c r="R20" s="119">
        <v>100</v>
      </c>
      <c r="S20" s="127">
        <f t="shared" si="0"/>
        <v>1.0499790004199916</v>
      </c>
      <c r="T20" s="128">
        <f t="shared" si="1"/>
        <v>1.0499790004199916</v>
      </c>
      <c r="U20" s="67">
        <f>+PyPI!H19</f>
        <v>3763990.37</v>
      </c>
      <c r="V20" s="88">
        <f>+PyPI!J19</f>
        <v>5276486.58</v>
      </c>
      <c r="W20" s="99">
        <f>+PyPI!L19</f>
        <v>5139438.6100000003</v>
      </c>
      <c r="X20" s="95">
        <f>+PyPI!P19</f>
        <v>1.3654228902822618</v>
      </c>
      <c r="Y20" s="51">
        <f>+PyPI!Q19</f>
        <v>0.97402666188530329</v>
      </c>
      <c r="AA20" s="59"/>
      <c r="AB20" s="60"/>
    </row>
    <row r="21" spans="1:28" ht="191.25" x14ac:dyDescent="0.2">
      <c r="A21" s="40" t="s">
        <v>102</v>
      </c>
      <c r="B21" s="117" t="s">
        <v>148</v>
      </c>
      <c r="C21" s="132" t="s">
        <v>149</v>
      </c>
      <c r="D21" s="113" t="s">
        <v>208</v>
      </c>
      <c r="E21" s="117" t="s">
        <v>209</v>
      </c>
      <c r="F21" s="117" t="s">
        <v>210</v>
      </c>
      <c r="G21" s="117" t="s">
        <v>125</v>
      </c>
      <c r="H21" s="116">
        <v>301</v>
      </c>
      <c r="I21" s="117" t="s">
        <v>211</v>
      </c>
      <c r="J21" s="117" t="s">
        <v>167</v>
      </c>
      <c r="K21" s="117" t="s">
        <v>168</v>
      </c>
      <c r="L21" s="117" t="s">
        <v>169</v>
      </c>
      <c r="M21" s="117" t="s">
        <v>170</v>
      </c>
      <c r="N21" s="117" t="s">
        <v>168</v>
      </c>
      <c r="O21" s="117" t="s">
        <v>212</v>
      </c>
      <c r="P21" s="118">
        <v>100</v>
      </c>
      <c r="Q21" s="119">
        <v>100</v>
      </c>
      <c r="R21" s="119">
        <v>100</v>
      </c>
      <c r="S21" s="127">
        <f t="shared" si="0"/>
        <v>1</v>
      </c>
      <c r="T21" s="128">
        <f t="shared" si="1"/>
        <v>1</v>
      </c>
      <c r="U21" s="67">
        <f>+PyPI!H20</f>
        <v>78401.81</v>
      </c>
      <c r="V21" s="88">
        <f>+PyPI!J20</f>
        <v>291302.02</v>
      </c>
      <c r="W21" s="99">
        <f>+PyPI!L20</f>
        <v>269702.02</v>
      </c>
      <c r="X21" s="95">
        <f>+PyPI!P20</f>
        <v>3.4399973674077171</v>
      </c>
      <c r="Y21" s="51">
        <f>+PyPI!Q20</f>
        <v>0.9258501537339151</v>
      </c>
      <c r="AA21" s="59"/>
      <c r="AB21" s="60"/>
    </row>
    <row r="22" spans="1:28" ht="229.5" x14ac:dyDescent="0.2">
      <c r="A22" s="40" t="s">
        <v>104</v>
      </c>
      <c r="B22" s="117" t="s">
        <v>148</v>
      </c>
      <c r="C22" s="132" t="s">
        <v>149</v>
      </c>
      <c r="D22" s="113" t="s">
        <v>185</v>
      </c>
      <c r="E22" s="117" t="s">
        <v>186</v>
      </c>
      <c r="F22" s="117" t="s">
        <v>187</v>
      </c>
      <c r="G22" s="117" t="s">
        <v>104</v>
      </c>
      <c r="H22" s="116">
        <v>301</v>
      </c>
      <c r="I22" s="117" t="s">
        <v>188</v>
      </c>
      <c r="J22" s="117" t="s">
        <v>167</v>
      </c>
      <c r="K22" s="117" t="s">
        <v>168</v>
      </c>
      <c r="L22" s="117" t="s">
        <v>169</v>
      </c>
      <c r="M22" s="117" t="s">
        <v>170</v>
      </c>
      <c r="N22" s="117" t="s">
        <v>168</v>
      </c>
      <c r="O22" s="117" t="s">
        <v>189</v>
      </c>
      <c r="P22" s="118">
        <v>92</v>
      </c>
      <c r="Q22" s="119">
        <v>92</v>
      </c>
      <c r="R22" s="119">
        <v>100</v>
      </c>
      <c r="S22" s="127">
        <f t="shared" si="0"/>
        <v>1.0869565217391304</v>
      </c>
      <c r="T22" s="128">
        <f t="shared" si="1"/>
        <v>1.0869565217391304</v>
      </c>
      <c r="U22" s="67">
        <f>+PyPI!H21</f>
        <v>5713969.7000000002</v>
      </c>
      <c r="V22" s="88">
        <f>+PyPI!J21</f>
        <v>6021567.8799999999</v>
      </c>
      <c r="W22" s="99">
        <f>+PyPI!L21</f>
        <v>5344539.63</v>
      </c>
      <c r="X22" s="95">
        <f>+PyPI!P21</f>
        <v>0.93534616223113676</v>
      </c>
      <c r="Y22" s="51">
        <f>+PyPI!Q21</f>
        <v>0.88756611841100763</v>
      </c>
      <c r="AA22" s="59"/>
      <c r="AB22" s="60"/>
    </row>
    <row r="23" spans="1:28" ht="242.25" x14ac:dyDescent="0.2">
      <c r="A23" s="40" t="s">
        <v>106</v>
      </c>
      <c r="B23" s="117" t="s">
        <v>148</v>
      </c>
      <c r="C23" s="132" t="s">
        <v>149</v>
      </c>
      <c r="D23" s="113" t="s">
        <v>190</v>
      </c>
      <c r="E23" s="117" t="s">
        <v>191</v>
      </c>
      <c r="F23" s="117" t="s">
        <v>192</v>
      </c>
      <c r="G23" s="117" t="s">
        <v>106</v>
      </c>
      <c r="H23" s="116">
        <v>301</v>
      </c>
      <c r="I23" s="117" t="s">
        <v>193</v>
      </c>
      <c r="J23" s="117" t="s">
        <v>167</v>
      </c>
      <c r="K23" s="117" t="s">
        <v>168</v>
      </c>
      <c r="L23" s="117" t="s">
        <v>169</v>
      </c>
      <c r="M23" s="117" t="s">
        <v>170</v>
      </c>
      <c r="N23" s="117" t="s">
        <v>168</v>
      </c>
      <c r="O23" s="117" t="s">
        <v>194</v>
      </c>
      <c r="P23" s="118">
        <v>90</v>
      </c>
      <c r="Q23" s="119">
        <v>90</v>
      </c>
      <c r="R23" s="119">
        <v>90</v>
      </c>
      <c r="S23" s="127">
        <f t="shared" si="0"/>
        <v>1</v>
      </c>
      <c r="T23" s="128">
        <f t="shared" si="1"/>
        <v>1</v>
      </c>
      <c r="U23" s="67">
        <f>+PyPI!H22</f>
        <v>243641.44</v>
      </c>
      <c r="V23" s="88">
        <f>+PyPI!J22</f>
        <v>650128.67000000004</v>
      </c>
      <c r="W23" s="99">
        <f>+PyPI!L22</f>
        <v>650078.67000000004</v>
      </c>
      <c r="X23" s="95">
        <f>+PyPI!P22</f>
        <v>2.6681777533411393</v>
      </c>
      <c r="Y23" s="51">
        <f>+PyPI!Q22</f>
        <v>0.99992309214728214</v>
      </c>
      <c r="AA23" s="59"/>
      <c r="AB23" s="60"/>
    </row>
    <row r="24" spans="1:28" ht="127.5" x14ac:dyDescent="0.2">
      <c r="A24" s="40"/>
      <c r="B24" s="117" t="s">
        <v>148</v>
      </c>
      <c r="C24" s="132" t="s">
        <v>149</v>
      </c>
      <c r="D24" s="113" t="s">
        <v>190</v>
      </c>
      <c r="E24" s="117" t="s">
        <v>191</v>
      </c>
      <c r="F24" s="117" t="s">
        <v>192</v>
      </c>
      <c r="G24" s="117" t="s">
        <v>106</v>
      </c>
      <c r="H24" s="116">
        <v>301</v>
      </c>
      <c r="I24" s="117" t="s">
        <v>195</v>
      </c>
      <c r="J24" s="117" t="s">
        <v>167</v>
      </c>
      <c r="K24" s="117" t="s">
        <v>168</v>
      </c>
      <c r="L24" s="117" t="s">
        <v>169</v>
      </c>
      <c r="M24" s="117" t="s">
        <v>170</v>
      </c>
      <c r="N24" s="117" t="s">
        <v>168</v>
      </c>
      <c r="O24" s="117" t="s">
        <v>196</v>
      </c>
      <c r="P24" s="118">
        <v>100</v>
      </c>
      <c r="Q24" s="119">
        <v>100</v>
      </c>
      <c r="R24" s="119">
        <v>100</v>
      </c>
      <c r="S24" s="127">
        <f t="shared" si="0"/>
        <v>1</v>
      </c>
      <c r="T24" s="128">
        <f t="shared" si="1"/>
        <v>1</v>
      </c>
      <c r="U24" s="67"/>
      <c r="V24" s="88"/>
      <c r="W24" s="99"/>
      <c r="X24" s="95"/>
      <c r="Y24" s="51"/>
      <c r="AA24" s="59"/>
      <c r="AB24" s="60"/>
    </row>
    <row r="25" spans="1:28" ht="191.25" x14ac:dyDescent="0.2">
      <c r="A25" s="40" t="s">
        <v>122</v>
      </c>
      <c r="B25" s="117" t="s">
        <v>148</v>
      </c>
      <c r="C25" s="132" t="s">
        <v>149</v>
      </c>
      <c r="D25" s="113" t="s">
        <v>197</v>
      </c>
      <c r="E25" s="117" t="s">
        <v>198</v>
      </c>
      <c r="F25" s="117" t="s">
        <v>199</v>
      </c>
      <c r="G25" s="117" t="s">
        <v>122</v>
      </c>
      <c r="H25" s="116">
        <v>601</v>
      </c>
      <c r="I25" s="117" t="s">
        <v>200</v>
      </c>
      <c r="J25" s="117" t="s">
        <v>167</v>
      </c>
      <c r="K25" s="117" t="s">
        <v>168</v>
      </c>
      <c r="L25" s="117" t="s">
        <v>184</v>
      </c>
      <c r="M25" s="117" t="s">
        <v>170</v>
      </c>
      <c r="N25" s="117" t="s">
        <v>168</v>
      </c>
      <c r="O25" s="117" t="s">
        <v>201</v>
      </c>
      <c r="P25" s="118">
        <v>65</v>
      </c>
      <c r="Q25" s="119">
        <v>65</v>
      </c>
      <c r="R25" s="119">
        <v>65</v>
      </c>
      <c r="S25" s="127">
        <f t="shared" si="0"/>
        <v>1</v>
      </c>
      <c r="T25" s="128">
        <f t="shared" si="1"/>
        <v>1</v>
      </c>
      <c r="U25" s="67">
        <f>+PyPI!H23</f>
        <v>1315689.52</v>
      </c>
      <c r="V25" s="88">
        <f>+PyPI!J23</f>
        <v>2310437.7200000002</v>
      </c>
      <c r="W25" s="99">
        <f>+PyPI!L23</f>
        <v>2308704.2200000002</v>
      </c>
      <c r="X25" s="95">
        <f>+PyPI!P23</f>
        <v>1.7547485063193329</v>
      </c>
      <c r="Y25" s="51">
        <f>+PyPI!Q23</f>
        <v>0.99924970927154011</v>
      </c>
      <c r="AA25" s="59"/>
      <c r="AB25" s="60"/>
    </row>
    <row r="26" spans="1:28" ht="89.25" x14ac:dyDescent="0.2">
      <c r="A26" s="40" t="s">
        <v>123</v>
      </c>
      <c r="B26" s="117" t="s">
        <v>148</v>
      </c>
      <c r="C26" s="132" t="s">
        <v>149</v>
      </c>
      <c r="D26" s="113" t="s">
        <v>202</v>
      </c>
      <c r="E26" s="117" t="s">
        <v>203</v>
      </c>
      <c r="F26" s="117" t="s">
        <v>204</v>
      </c>
      <c r="G26" s="117" t="s">
        <v>123</v>
      </c>
      <c r="H26" s="116">
        <v>1102</v>
      </c>
      <c r="I26" s="117" t="s">
        <v>166</v>
      </c>
      <c r="J26" s="117" t="s">
        <v>167</v>
      </c>
      <c r="K26" s="117" t="s">
        <v>168</v>
      </c>
      <c r="L26" s="117" t="s">
        <v>169</v>
      </c>
      <c r="M26" s="117" t="s">
        <v>170</v>
      </c>
      <c r="N26" s="117" t="s">
        <v>168</v>
      </c>
      <c r="O26" s="117" t="s">
        <v>171</v>
      </c>
      <c r="P26" s="118">
        <v>100</v>
      </c>
      <c r="Q26" s="119">
        <v>100</v>
      </c>
      <c r="R26" s="119">
        <v>100</v>
      </c>
      <c r="S26" s="127">
        <f t="shared" si="0"/>
        <v>1</v>
      </c>
      <c r="T26" s="128">
        <f t="shared" si="1"/>
        <v>1</v>
      </c>
      <c r="U26" s="67">
        <f>+PyPI!H24</f>
        <v>1501728.75</v>
      </c>
      <c r="V26" s="88">
        <f>+PyPI!J24</f>
        <v>2537817.54</v>
      </c>
      <c r="W26" s="99">
        <f>+PyPI!L24</f>
        <v>2537650.46</v>
      </c>
      <c r="X26" s="95">
        <f>+PyPI!P24</f>
        <v>1.689819456409821</v>
      </c>
      <c r="Y26" s="51">
        <f>+PyPI!Q24</f>
        <v>0.99993416390368239</v>
      </c>
      <c r="AA26" s="59"/>
      <c r="AB26" s="60"/>
    </row>
    <row r="27" spans="1:28" ht="89.25" x14ac:dyDescent="0.2">
      <c r="A27" s="40" t="s">
        <v>124</v>
      </c>
      <c r="B27" s="117" t="s">
        <v>148</v>
      </c>
      <c r="C27" s="132" t="s">
        <v>149</v>
      </c>
      <c r="D27" s="113" t="s">
        <v>205</v>
      </c>
      <c r="E27" s="117" t="s">
        <v>206</v>
      </c>
      <c r="F27" s="117" t="s">
        <v>207</v>
      </c>
      <c r="G27" s="117" t="s">
        <v>124</v>
      </c>
      <c r="H27" s="116">
        <v>1101</v>
      </c>
      <c r="I27" s="117" t="s">
        <v>166</v>
      </c>
      <c r="J27" s="117" t="s">
        <v>167</v>
      </c>
      <c r="K27" s="117" t="s">
        <v>168</v>
      </c>
      <c r="L27" s="117" t="s">
        <v>169</v>
      </c>
      <c r="M27" s="117" t="s">
        <v>170</v>
      </c>
      <c r="N27" s="117" t="s">
        <v>168</v>
      </c>
      <c r="O27" s="117" t="s">
        <v>171</v>
      </c>
      <c r="P27" s="118">
        <v>100</v>
      </c>
      <c r="Q27" s="119">
        <v>100</v>
      </c>
      <c r="R27" s="119">
        <v>100</v>
      </c>
      <c r="S27" s="127">
        <f t="shared" si="0"/>
        <v>1</v>
      </c>
      <c r="T27" s="128">
        <f t="shared" si="1"/>
        <v>1</v>
      </c>
      <c r="U27" s="67">
        <f>+PyPI!H25</f>
        <v>5870835.3600000003</v>
      </c>
      <c r="V27" s="88">
        <f>+PyPI!J25</f>
        <v>12898787.66</v>
      </c>
      <c r="W27" s="99">
        <f>+PyPI!L25</f>
        <v>11681452.710000001</v>
      </c>
      <c r="X27" s="95">
        <f>+PyPI!P25</f>
        <v>1.9897428549248228</v>
      </c>
      <c r="Y27" s="51">
        <f>+PyPI!Q25</f>
        <v>0.90562408017809026</v>
      </c>
      <c r="AA27" s="59"/>
      <c r="AB27" s="60"/>
    </row>
    <row r="28" spans="1:28" ht="191.25" x14ac:dyDescent="0.2">
      <c r="A28" s="40" t="s">
        <v>125</v>
      </c>
      <c r="B28" s="117" t="s">
        <v>148</v>
      </c>
      <c r="C28" s="132" t="s">
        <v>149</v>
      </c>
      <c r="D28" s="113" t="s">
        <v>208</v>
      </c>
      <c r="E28" s="117" t="s">
        <v>209</v>
      </c>
      <c r="F28" s="117" t="s">
        <v>210</v>
      </c>
      <c r="G28" s="117" t="s">
        <v>125</v>
      </c>
      <c r="H28" s="116">
        <v>301</v>
      </c>
      <c r="I28" s="117" t="s">
        <v>211</v>
      </c>
      <c r="J28" s="117" t="s">
        <v>167</v>
      </c>
      <c r="K28" s="117" t="s">
        <v>168</v>
      </c>
      <c r="L28" s="117" t="s">
        <v>169</v>
      </c>
      <c r="M28" s="117" t="s">
        <v>170</v>
      </c>
      <c r="N28" s="117" t="s">
        <v>168</v>
      </c>
      <c r="O28" s="117" t="s">
        <v>212</v>
      </c>
      <c r="P28" s="118">
        <v>100</v>
      </c>
      <c r="Q28" s="119">
        <v>100</v>
      </c>
      <c r="R28" s="119">
        <v>94</v>
      </c>
      <c r="S28" s="127">
        <f t="shared" si="0"/>
        <v>0.94</v>
      </c>
      <c r="T28" s="128">
        <f t="shared" si="1"/>
        <v>0.94</v>
      </c>
      <c r="U28" s="67">
        <f>+PyPI!H26</f>
        <v>3238445.75</v>
      </c>
      <c r="V28" s="88">
        <f>+PyPI!J26</f>
        <v>3966666.39</v>
      </c>
      <c r="W28" s="99">
        <f>+PyPI!L26</f>
        <v>3621314.42</v>
      </c>
      <c r="X28" s="95">
        <f>+PyPI!P26</f>
        <v>1.1182260564346338</v>
      </c>
      <c r="Y28" s="51">
        <f>+PyPI!Q26</f>
        <v>0.91293647207876227</v>
      </c>
      <c r="AA28" s="59"/>
      <c r="AB28" s="60"/>
    </row>
    <row r="29" spans="1:28" ht="89.25" x14ac:dyDescent="0.2">
      <c r="A29" s="40" t="s">
        <v>108</v>
      </c>
      <c r="B29" s="178" t="s">
        <v>148</v>
      </c>
      <c r="C29" s="178" t="s">
        <v>149</v>
      </c>
      <c r="D29" s="182" t="s">
        <v>213</v>
      </c>
      <c r="E29" s="183" t="s">
        <v>214</v>
      </c>
      <c r="F29" s="183" t="s">
        <v>215</v>
      </c>
      <c r="G29" s="178" t="s">
        <v>108</v>
      </c>
      <c r="H29" s="178">
        <v>201</v>
      </c>
      <c r="I29" s="113" t="s">
        <v>216</v>
      </c>
      <c r="J29" s="113" t="s">
        <v>217</v>
      </c>
      <c r="K29" s="113" t="s">
        <v>218</v>
      </c>
      <c r="L29" s="113" t="s">
        <v>184</v>
      </c>
      <c r="M29" s="113" t="s">
        <v>170</v>
      </c>
      <c r="N29" s="113" t="s">
        <v>219</v>
      </c>
      <c r="O29" s="113" t="s">
        <v>220</v>
      </c>
      <c r="P29" s="130">
        <v>1</v>
      </c>
      <c r="Q29" s="126">
        <v>1</v>
      </c>
      <c r="R29" s="126">
        <v>0.99</v>
      </c>
      <c r="S29" s="127">
        <f t="shared" si="0"/>
        <v>0.99</v>
      </c>
      <c r="T29" s="128">
        <f t="shared" si="1"/>
        <v>0.99</v>
      </c>
      <c r="U29" s="67">
        <f>+PyPI!H27</f>
        <v>0</v>
      </c>
      <c r="V29" s="88">
        <f>+PyPI!J27</f>
        <v>15903489.08</v>
      </c>
      <c r="W29" s="99">
        <f>+PyPI!L27</f>
        <v>12453815.880000001</v>
      </c>
      <c r="X29" s="95">
        <f>+PyPI!P27</f>
        <v>0</v>
      </c>
      <c r="Y29" s="51">
        <f>+PyPI!Q27</f>
        <v>0.78308702054958124</v>
      </c>
      <c r="AA29" s="59"/>
      <c r="AB29" s="60"/>
    </row>
    <row r="30" spans="1:28" ht="63.75" x14ac:dyDescent="0.2">
      <c r="A30" s="40"/>
      <c r="B30" s="178"/>
      <c r="C30" s="178"/>
      <c r="D30" s="182"/>
      <c r="E30" s="183"/>
      <c r="F30" s="183"/>
      <c r="G30" s="178"/>
      <c r="H30" s="178"/>
      <c r="I30" s="113" t="s">
        <v>221</v>
      </c>
      <c r="J30" s="113" t="s">
        <v>217</v>
      </c>
      <c r="K30" s="113" t="s">
        <v>222</v>
      </c>
      <c r="L30" s="113" t="s">
        <v>184</v>
      </c>
      <c r="M30" s="113" t="s">
        <v>170</v>
      </c>
      <c r="N30" s="113" t="s">
        <v>223</v>
      </c>
      <c r="O30" s="113" t="s">
        <v>224</v>
      </c>
      <c r="P30" s="130">
        <v>1</v>
      </c>
      <c r="Q30" s="126">
        <v>1</v>
      </c>
      <c r="R30" s="126">
        <v>1</v>
      </c>
      <c r="S30" s="127">
        <f t="shared" si="0"/>
        <v>1</v>
      </c>
      <c r="T30" s="128">
        <f t="shared" si="1"/>
        <v>1</v>
      </c>
      <c r="U30" s="67"/>
      <c r="V30" s="88"/>
      <c r="W30" s="99"/>
      <c r="X30" s="95"/>
      <c r="Y30" s="51"/>
      <c r="AA30" s="59"/>
      <c r="AB30" s="60"/>
    </row>
    <row r="31" spans="1:28" ht="102" x14ac:dyDescent="0.2">
      <c r="A31" s="40"/>
      <c r="B31" s="178"/>
      <c r="C31" s="178"/>
      <c r="D31" s="182"/>
      <c r="E31" s="183"/>
      <c r="F31" s="183"/>
      <c r="G31" s="178"/>
      <c r="H31" s="178"/>
      <c r="I31" s="113" t="s">
        <v>225</v>
      </c>
      <c r="J31" s="113" t="s">
        <v>217</v>
      </c>
      <c r="K31" s="113" t="s">
        <v>218</v>
      </c>
      <c r="L31" s="113" t="s">
        <v>184</v>
      </c>
      <c r="M31" s="113" t="s">
        <v>170</v>
      </c>
      <c r="N31" s="113" t="s">
        <v>219</v>
      </c>
      <c r="O31" s="113" t="s">
        <v>226</v>
      </c>
      <c r="P31" s="130">
        <v>1</v>
      </c>
      <c r="Q31" s="126">
        <v>1</v>
      </c>
      <c r="R31" s="126">
        <v>1</v>
      </c>
      <c r="S31" s="127">
        <f t="shared" si="0"/>
        <v>1</v>
      </c>
      <c r="T31" s="128">
        <f t="shared" si="1"/>
        <v>1</v>
      </c>
      <c r="U31" s="67"/>
      <c r="V31" s="88"/>
      <c r="W31" s="99"/>
      <c r="X31" s="95"/>
      <c r="Y31" s="51"/>
      <c r="AA31" s="59"/>
      <c r="AB31" s="60"/>
    </row>
    <row r="32" spans="1:28" ht="140.25" x14ac:dyDescent="0.2">
      <c r="A32" s="40"/>
      <c r="B32" s="178"/>
      <c r="C32" s="178"/>
      <c r="D32" s="182"/>
      <c r="E32" s="183"/>
      <c r="F32" s="183"/>
      <c r="G32" s="178"/>
      <c r="H32" s="178"/>
      <c r="I32" s="113" t="s">
        <v>227</v>
      </c>
      <c r="J32" s="113" t="s">
        <v>217</v>
      </c>
      <c r="K32" s="113" t="s">
        <v>228</v>
      </c>
      <c r="L32" s="113" t="s">
        <v>184</v>
      </c>
      <c r="M32" s="113" t="s">
        <v>170</v>
      </c>
      <c r="N32" s="113" t="s">
        <v>219</v>
      </c>
      <c r="O32" s="113" t="s">
        <v>229</v>
      </c>
      <c r="P32" s="130">
        <v>1</v>
      </c>
      <c r="Q32" s="126">
        <v>1</v>
      </c>
      <c r="R32" s="126">
        <v>1</v>
      </c>
      <c r="S32" s="127">
        <f t="shared" si="0"/>
        <v>1</v>
      </c>
      <c r="T32" s="128">
        <f t="shared" si="1"/>
        <v>1</v>
      </c>
      <c r="U32" s="67"/>
      <c r="V32" s="88"/>
      <c r="W32" s="99"/>
      <c r="X32" s="95"/>
      <c r="Y32" s="51"/>
      <c r="AA32" s="59"/>
      <c r="AB32" s="60"/>
    </row>
    <row r="33" spans="1:28" ht="51" x14ac:dyDescent="0.2">
      <c r="A33" s="40" t="s">
        <v>141</v>
      </c>
      <c r="B33" s="117" t="s">
        <v>148</v>
      </c>
      <c r="C33" s="132" t="s">
        <v>149</v>
      </c>
      <c r="D33" s="113" t="s">
        <v>150</v>
      </c>
      <c r="E33" s="117" t="s">
        <v>151</v>
      </c>
      <c r="F33" s="117" t="s">
        <v>152</v>
      </c>
      <c r="G33" s="117" t="s">
        <v>141</v>
      </c>
      <c r="H33" s="116">
        <v>201</v>
      </c>
      <c r="I33" s="117" t="s">
        <v>153</v>
      </c>
      <c r="J33" s="117"/>
      <c r="K33" s="117"/>
      <c r="L33" s="117"/>
      <c r="M33" s="117"/>
      <c r="N33" s="117"/>
      <c r="O33" s="117"/>
      <c r="P33" s="35"/>
      <c r="Q33" s="36"/>
      <c r="R33" s="36"/>
      <c r="S33" s="36"/>
      <c r="T33" s="37"/>
      <c r="U33" s="67">
        <f>+PyPI!H28</f>
        <v>0</v>
      </c>
      <c r="V33" s="88">
        <f>+PyPI!J28</f>
        <v>2848000</v>
      </c>
      <c r="W33" s="99">
        <f>+PyPI!L28</f>
        <v>2795478.91</v>
      </c>
      <c r="X33" s="95">
        <f>+PyPI!P28</f>
        <v>0</v>
      </c>
      <c r="Y33" s="51">
        <f>+PyPI!Q28</f>
        <v>0.98155860603932588</v>
      </c>
      <c r="AA33" s="59"/>
      <c r="AB33" s="60"/>
    </row>
    <row r="34" spans="1:28" ht="51" x14ac:dyDescent="0.2">
      <c r="A34" s="40" t="s">
        <v>142</v>
      </c>
      <c r="B34" s="117" t="s">
        <v>148</v>
      </c>
      <c r="C34" s="132" t="s">
        <v>149</v>
      </c>
      <c r="D34" s="113" t="s">
        <v>154</v>
      </c>
      <c r="E34" s="117" t="s">
        <v>155</v>
      </c>
      <c r="F34" s="117" t="s">
        <v>156</v>
      </c>
      <c r="G34" s="117" t="s">
        <v>142</v>
      </c>
      <c r="H34" s="116">
        <v>201</v>
      </c>
      <c r="I34" s="117" t="s">
        <v>153</v>
      </c>
      <c r="J34" s="117"/>
      <c r="K34" s="117"/>
      <c r="L34" s="117"/>
      <c r="M34" s="117"/>
      <c r="N34" s="117"/>
      <c r="O34" s="117"/>
      <c r="P34" s="35"/>
      <c r="Q34" s="36"/>
      <c r="R34" s="36"/>
      <c r="S34" s="36"/>
      <c r="T34" s="37"/>
      <c r="U34" s="67">
        <f>+PyPI!H29</f>
        <v>0</v>
      </c>
      <c r="V34" s="88">
        <f>+PyPI!J29</f>
        <v>75000</v>
      </c>
      <c r="W34" s="99">
        <f>+PyPI!L29</f>
        <v>75000</v>
      </c>
      <c r="X34" s="95">
        <f>+PyPI!P29</f>
        <v>0</v>
      </c>
      <c r="Y34" s="51">
        <f>+PyPI!Q29</f>
        <v>1</v>
      </c>
      <c r="AA34" s="59"/>
      <c r="AB34" s="60"/>
    </row>
    <row r="35" spans="1:28" ht="51" x14ac:dyDescent="0.2">
      <c r="A35" s="40" t="s">
        <v>143</v>
      </c>
      <c r="B35" s="117" t="s">
        <v>148</v>
      </c>
      <c r="C35" s="132" t="s">
        <v>149</v>
      </c>
      <c r="D35" s="113" t="s">
        <v>157</v>
      </c>
      <c r="E35" s="117" t="s">
        <v>158</v>
      </c>
      <c r="F35" s="117" t="s">
        <v>159</v>
      </c>
      <c r="G35" s="117" t="s">
        <v>143</v>
      </c>
      <c r="H35" s="116">
        <v>201</v>
      </c>
      <c r="I35" s="117" t="s">
        <v>153</v>
      </c>
      <c r="J35" s="117"/>
      <c r="K35" s="117"/>
      <c r="L35" s="117"/>
      <c r="M35" s="117"/>
      <c r="N35" s="117"/>
      <c r="O35" s="117"/>
      <c r="P35" s="35"/>
      <c r="Q35" s="36"/>
      <c r="R35" s="36"/>
      <c r="S35" s="36"/>
      <c r="T35" s="37"/>
      <c r="U35" s="67">
        <f>+PyPI!H30</f>
        <v>0</v>
      </c>
      <c r="V35" s="88">
        <f>+PyPI!J30</f>
        <v>914875.75</v>
      </c>
      <c r="W35" s="99">
        <f>+PyPI!L30</f>
        <v>906332.61</v>
      </c>
      <c r="X35" s="95">
        <f>+PyPI!P30</f>
        <v>0</v>
      </c>
      <c r="Y35" s="51">
        <f>+PyPI!Q30</f>
        <v>0.99066196693922648</v>
      </c>
      <c r="AA35" s="59"/>
      <c r="AB35" s="60"/>
    </row>
    <row r="36" spans="1:28" ht="51" x14ac:dyDescent="0.2">
      <c r="A36" s="40" t="str">
        <f>+PyPI!E31</f>
        <v>P2437.0001</v>
      </c>
      <c r="B36" s="117" t="s">
        <v>148</v>
      </c>
      <c r="C36" s="132" t="s">
        <v>149</v>
      </c>
      <c r="D36" s="113" t="s">
        <v>157</v>
      </c>
      <c r="E36" s="117" t="s">
        <v>158</v>
      </c>
      <c r="F36" s="117" t="s">
        <v>159</v>
      </c>
      <c r="G36" s="117" t="s">
        <v>143</v>
      </c>
      <c r="H36" s="116">
        <v>201</v>
      </c>
      <c r="I36" s="117" t="s">
        <v>153</v>
      </c>
      <c r="J36" s="117"/>
      <c r="K36" s="117"/>
      <c r="L36" s="117"/>
      <c r="M36" s="117"/>
      <c r="N36" s="117"/>
      <c r="O36" s="117"/>
      <c r="P36" s="35"/>
      <c r="Q36" s="36"/>
      <c r="R36" s="36"/>
      <c r="S36" s="36"/>
      <c r="T36" s="37"/>
      <c r="U36" s="67">
        <f>+PyPI!H31</f>
        <v>0</v>
      </c>
      <c r="V36" s="101">
        <f>+PyPI!J31</f>
        <v>250000</v>
      </c>
      <c r="W36" s="99">
        <f>+PyPI!L31</f>
        <v>231613.72</v>
      </c>
      <c r="X36" s="102">
        <f>+PyPI!P31</f>
        <v>0</v>
      </c>
      <c r="Y36" s="103">
        <f>+PyPI!Q31</f>
        <v>0.92645487999999998</v>
      </c>
      <c r="AA36" s="59"/>
      <c r="AB36" s="60"/>
    </row>
    <row r="37" spans="1:28" s="23" customFormat="1" ht="12.75" customHeight="1" x14ac:dyDescent="0.2">
      <c r="A37" s="20"/>
      <c r="B37" s="104"/>
      <c r="C37" s="151" t="s">
        <v>44</v>
      </c>
      <c r="D37" s="152"/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3">
        <v>0</v>
      </c>
      <c r="Q37" s="54">
        <v>0</v>
      </c>
      <c r="R37" s="42">
        <v>0</v>
      </c>
      <c r="S37" s="55">
        <v>0</v>
      </c>
      <c r="T37" s="42">
        <v>0</v>
      </c>
      <c r="U37" s="56">
        <f>+SUM(U10:U36)</f>
        <v>128963136.7</v>
      </c>
      <c r="V37" s="56">
        <f>+SUM(V10:V36)</f>
        <v>241156868.00999999</v>
      </c>
      <c r="W37" s="56">
        <f>+SUM(W10:W36)</f>
        <v>224030894.52000001</v>
      </c>
      <c r="X37" s="54"/>
      <c r="Y37" s="100"/>
    </row>
    <row r="38" spans="1:2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8" x14ac:dyDescent="0.2">
      <c r="B39" s="24" t="s">
        <v>45</v>
      </c>
      <c r="G39" s="1"/>
      <c r="H39" s="1"/>
      <c r="I39" s="1"/>
      <c r="J39" s="1"/>
      <c r="K39" s="1"/>
      <c r="L39" s="1"/>
      <c r="M39" s="1"/>
      <c r="N39" s="1"/>
      <c r="O39" s="1"/>
    </row>
    <row r="42" spans="1:28" x14ac:dyDescent="0.2">
      <c r="C42" s="25"/>
      <c r="D42" s="25"/>
      <c r="E42" s="25"/>
      <c r="F42" s="25"/>
    </row>
    <row r="43" spans="1:28" x14ac:dyDescent="0.2">
      <c r="D43" s="26" t="s">
        <v>88</v>
      </c>
      <c r="H43" s="153" t="s">
        <v>109</v>
      </c>
      <c r="I43" s="153"/>
      <c r="J43" s="153"/>
      <c r="K43" s="153"/>
      <c r="L43" s="153"/>
      <c r="M43" s="153"/>
      <c r="N43" s="153"/>
      <c r="O43" s="153"/>
    </row>
    <row r="44" spans="1:28" x14ac:dyDescent="0.2">
      <c r="D44" s="15" t="s">
        <v>87</v>
      </c>
      <c r="H44" s="162" t="s">
        <v>89</v>
      </c>
      <c r="I44" s="162"/>
      <c r="J44" s="162"/>
      <c r="K44" s="162"/>
      <c r="L44" s="162"/>
      <c r="M44" s="162"/>
      <c r="N44" s="162"/>
      <c r="O44" s="162"/>
    </row>
  </sheetData>
  <mergeCells count="39">
    <mergeCell ref="B29:B32"/>
    <mergeCell ref="C29:C32"/>
    <mergeCell ref="D29:D32"/>
    <mergeCell ref="E29:E32"/>
    <mergeCell ref="F29:F32"/>
    <mergeCell ref="H44:O44"/>
    <mergeCell ref="U8:U9"/>
    <mergeCell ref="V8:V9"/>
    <mergeCell ref="W8:W9"/>
    <mergeCell ref="X8:Y8"/>
    <mergeCell ref="Q8:Q9"/>
    <mergeCell ref="R8:R9"/>
    <mergeCell ref="S8:T8"/>
    <mergeCell ref="H29:H32"/>
    <mergeCell ref="C37:D37"/>
    <mergeCell ref="H43:O4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9:G32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7" t="s">
        <v>50</v>
      </c>
      <c r="D7" s="158"/>
      <c r="E7" s="158"/>
      <c r="F7" s="158"/>
      <c r="G7" s="158"/>
      <c r="H7" s="158"/>
      <c r="I7" s="159"/>
      <c r="J7" s="146" t="s">
        <v>4</v>
      </c>
    </row>
    <row r="8" spans="3:12" ht="25.5" x14ac:dyDescent="0.25">
      <c r="C8" s="80" t="s">
        <v>5</v>
      </c>
      <c r="D8" s="80" t="s">
        <v>6</v>
      </c>
      <c r="E8" s="80" t="s">
        <v>7</v>
      </c>
      <c r="F8" s="80" t="s">
        <v>8</v>
      </c>
      <c r="G8" s="80" t="s">
        <v>9</v>
      </c>
      <c r="H8" s="80" t="s">
        <v>10</v>
      </c>
      <c r="I8" s="80" t="s">
        <v>11</v>
      </c>
      <c r="J8" s="146"/>
    </row>
    <row r="9" spans="3:12" x14ac:dyDescent="0.25">
      <c r="C9" s="80">
        <v>1</v>
      </c>
      <c r="D9" s="80">
        <v>2</v>
      </c>
      <c r="E9" s="80" t="s">
        <v>12</v>
      </c>
      <c r="F9" s="80">
        <v>4</v>
      </c>
      <c r="G9" s="80">
        <v>5</v>
      </c>
      <c r="H9" s="80">
        <v>6</v>
      </c>
      <c r="I9" s="80">
        <v>7</v>
      </c>
      <c r="J9" s="80" t="s">
        <v>13</v>
      </c>
    </row>
    <row r="10" spans="3:12" x14ac:dyDescent="0.25">
      <c r="C10" s="64">
        <v>30226146.120000001</v>
      </c>
      <c r="D10" s="64">
        <f>28360643.39-14776842.8</f>
        <v>13583800.59</v>
      </c>
      <c r="E10" s="64">
        <f>+C10+D10</f>
        <v>43809946.710000001</v>
      </c>
      <c r="F10" s="64">
        <v>3656499.68</v>
      </c>
      <c r="G10" s="64">
        <v>36409.800000000003</v>
      </c>
      <c r="H10" s="64">
        <v>16266016.66</v>
      </c>
      <c r="I10" s="64">
        <v>12573140.18</v>
      </c>
      <c r="J10" s="64">
        <f>+E10-H10</f>
        <v>27543930.050000001</v>
      </c>
      <c r="L10" s="81">
        <f>+G10+I10</f>
        <v>12609549.98</v>
      </c>
    </row>
    <row r="11" spans="3:12" x14ac:dyDescent="0.25">
      <c r="C11" s="64">
        <v>7925646.7300000004</v>
      </c>
      <c r="D11" s="69">
        <f>8480111.45-1287175.37</f>
        <v>7192936.0799999991</v>
      </c>
      <c r="E11" s="64">
        <f t="shared" ref="E11:E22" si="0">+C11+D11</f>
        <v>15118582.809999999</v>
      </c>
      <c r="F11" s="69">
        <v>593287.88</v>
      </c>
      <c r="G11" s="69">
        <v>1221</v>
      </c>
      <c r="H11" s="69">
        <v>9243882.5</v>
      </c>
      <c r="I11" s="69">
        <v>8649373.6199999992</v>
      </c>
      <c r="J11" s="64">
        <f t="shared" ref="J11:J22" si="1">+E11-H11</f>
        <v>5874700.3099999987</v>
      </c>
      <c r="L11" s="81">
        <f t="shared" ref="L11:L23" si="2">+G11+I11</f>
        <v>8650594.6199999992</v>
      </c>
    </row>
    <row r="12" spans="3:12" x14ac:dyDescent="0.25">
      <c r="C12" s="64">
        <v>30004358.300000001</v>
      </c>
      <c r="D12" s="64">
        <f>31983984.77-4274707.41</f>
        <v>27709277.359999999</v>
      </c>
      <c r="E12" s="64">
        <f t="shared" si="0"/>
        <v>57713635.659999996</v>
      </c>
      <c r="F12" s="64">
        <v>5051012.41</v>
      </c>
      <c r="G12" s="64">
        <v>536824.03</v>
      </c>
      <c r="H12" s="64">
        <v>38287826.689999998</v>
      </c>
      <c r="I12" s="64">
        <v>32699990.25</v>
      </c>
      <c r="J12" s="64">
        <f t="shared" si="1"/>
        <v>19425808.969999999</v>
      </c>
      <c r="L12" s="81">
        <f t="shared" si="2"/>
        <v>33236814.280000001</v>
      </c>
    </row>
    <row r="13" spans="3:12" x14ac:dyDescent="0.25">
      <c r="C13" s="64">
        <v>27386605.75</v>
      </c>
      <c r="D13" s="64">
        <f>27226612.87-45000</f>
        <v>27181612.870000001</v>
      </c>
      <c r="E13" s="64">
        <f t="shared" si="0"/>
        <v>54568218.620000005</v>
      </c>
      <c r="F13" s="64">
        <v>799200.26</v>
      </c>
      <c r="G13" s="64">
        <v>0</v>
      </c>
      <c r="H13" s="64">
        <v>41055086.280000001</v>
      </c>
      <c r="I13" s="64">
        <v>40255886.020000003</v>
      </c>
      <c r="J13" s="64">
        <f t="shared" si="1"/>
        <v>13513132.340000004</v>
      </c>
      <c r="L13" s="81">
        <f t="shared" si="2"/>
        <v>40255886.020000003</v>
      </c>
    </row>
    <row r="14" spans="3:12" x14ac:dyDescent="0.25">
      <c r="C14" s="64">
        <v>3057955.62</v>
      </c>
      <c r="D14" s="64">
        <f>3357201.81-1115782.84</f>
        <v>2241418.9699999997</v>
      </c>
      <c r="E14" s="64">
        <f t="shared" si="0"/>
        <v>5299374.59</v>
      </c>
      <c r="F14" s="64">
        <v>61715.83</v>
      </c>
      <c r="G14" s="64">
        <v>75852.69</v>
      </c>
      <c r="H14" s="64">
        <v>2226530.2799999998</v>
      </c>
      <c r="I14" s="64">
        <v>2088961.76</v>
      </c>
      <c r="J14" s="64">
        <f t="shared" si="1"/>
        <v>3072844.31</v>
      </c>
      <c r="L14" s="81">
        <f t="shared" si="2"/>
        <v>2164814.4500000002</v>
      </c>
    </row>
    <row r="15" spans="3:12" x14ac:dyDescent="0.25">
      <c r="C15" s="64">
        <v>701389.39</v>
      </c>
      <c r="D15" s="64">
        <f>3709738.25-21500</f>
        <v>3688238.25</v>
      </c>
      <c r="E15" s="64">
        <f t="shared" si="0"/>
        <v>4389627.6399999997</v>
      </c>
      <c r="F15" s="64">
        <v>3438</v>
      </c>
      <c r="G15" s="64">
        <v>0</v>
      </c>
      <c r="H15" s="64">
        <v>676113.57</v>
      </c>
      <c r="I15" s="64">
        <v>672675.57</v>
      </c>
      <c r="J15" s="64">
        <f t="shared" si="1"/>
        <v>3713514.07</v>
      </c>
      <c r="L15" s="81">
        <f t="shared" si="2"/>
        <v>672675.57</v>
      </c>
    </row>
    <row r="16" spans="3:12" x14ac:dyDescent="0.25">
      <c r="C16" s="64">
        <v>2108553.9</v>
      </c>
      <c r="D16" s="64">
        <f>479432.1-100000</f>
        <v>379432.1</v>
      </c>
      <c r="E16" s="64">
        <f t="shared" si="0"/>
        <v>2487986</v>
      </c>
      <c r="F16" s="64">
        <v>301011.96999999997</v>
      </c>
      <c r="G16" s="64">
        <v>0</v>
      </c>
      <c r="H16" s="64">
        <v>1645958.26</v>
      </c>
      <c r="I16" s="64">
        <v>1344946.29</v>
      </c>
      <c r="J16" s="64">
        <f t="shared" si="1"/>
        <v>842027.74</v>
      </c>
      <c r="L16" s="81">
        <f t="shared" si="2"/>
        <v>1344946.29</v>
      </c>
    </row>
    <row r="17" spans="3:12" x14ac:dyDescent="0.25">
      <c r="C17" s="64">
        <v>2975173.98</v>
      </c>
      <c r="D17" s="64">
        <f>1649329.26-1663876</f>
        <v>-14546.739999999991</v>
      </c>
      <c r="E17" s="64">
        <f t="shared" si="0"/>
        <v>2960627.24</v>
      </c>
      <c r="F17" s="64">
        <v>61784.36</v>
      </c>
      <c r="G17" s="64">
        <v>0</v>
      </c>
      <c r="H17" s="64">
        <v>910612.17</v>
      </c>
      <c r="I17" s="64">
        <v>848827.81</v>
      </c>
      <c r="J17" s="64">
        <f t="shared" si="1"/>
        <v>2050015.0700000003</v>
      </c>
      <c r="L17" s="81">
        <f t="shared" si="2"/>
        <v>848827.81</v>
      </c>
    </row>
    <row r="18" spans="3:12" x14ac:dyDescent="0.25">
      <c r="C18" s="64">
        <v>6387532.6699999999</v>
      </c>
      <c r="D18" s="64">
        <f>2742794.11-1208268.6</f>
        <v>1534525.5099999998</v>
      </c>
      <c r="E18" s="64">
        <f t="shared" si="0"/>
        <v>7922058.1799999997</v>
      </c>
      <c r="F18" s="64">
        <v>1076712.29</v>
      </c>
      <c r="G18" s="64">
        <v>107145.12</v>
      </c>
      <c r="H18" s="64">
        <v>3636369.49</v>
      </c>
      <c r="I18" s="64">
        <v>2452512.08</v>
      </c>
      <c r="J18" s="64">
        <f t="shared" si="1"/>
        <v>4285688.6899999995</v>
      </c>
      <c r="L18" s="81">
        <f t="shared" si="2"/>
        <v>2559657.2000000002</v>
      </c>
    </row>
    <row r="19" spans="3:12" x14ac:dyDescent="0.25">
      <c r="C19" s="64">
        <v>127291.9</v>
      </c>
      <c r="D19" s="64">
        <v>129489.3</v>
      </c>
      <c r="E19" s="64">
        <f t="shared" si="0"/>
        <v>256781.2</v>
      </c>
      <c r="F19" s="64">
        <v>101</v>
      </c>
      <c r="G19" s="64">
        <v>0</v>
      </c>
      <c r="H19" s="64">
        <v>104985.94</v>
      </c>
      <c r="I19" s="64">
        <v>104884.94</v>
      </c>
      <c r="J19" s="64">
        <f t="shared" si="1"/>
        <v>151795.26</v>
      </c>
      <c r="L19" s="81">
        <f t="shared" si="2"/>
        <v>104884.94</v>
      </c>
    </row>
    <row r="20" spans="3:12" x14ac:dyDescent="0.25">
      <c r="C20" s="64">
        <v>9534341.9600000009</v>
      </c>
      <c r="D20" s="69">
        <f>4228079.64-3972759.1</f>
        <v>255320.53999999957</v>
      </c>
      <c r="E20" s="64">
        <f t="shared" si="0"/>
        <v>9789662.5</v>
      </c>
      <c r="F20" s="69">
        <v>428569.32</v>
      </c>
      <c r="G20" s="69">
        <v>19808.21</v>
      </c>
      <c r="H20" s="69">
        <v>4237481.28</v>
      </c>
      <c r="I20" s="69">
        <v>3789103.75</v>
      </c>
      <c r="J20" s="64">
        <f t="shared" si="1"/>
        <v>5552181.2199999997</v>
      </c>
      <c r="L20" s="81">
        <f t="shared" si="2"/>
        <v>3808911.96</v>
      </c>
    </row>
    <row r="21" spans="3:12" x14ac:dyDescent="0.25">
      <c r="C21" s="64">
        <v>272463.74</v>
      </c>
      <c r="D21" s="69">
        <v>329338.65999999997</v>
      </c>
      <c r="E21" s="64">
        <f t="shared" si="0"/>
        <v>601802.39999999991</v>
      </c>
      <c r="F21" s="69">
        <v>921.93</v>
      </c>
      <c r="G21" s="69">
        <v>0</v>
      </c>
      <c r="H21" s="69">
        <v>260892.31</v>
      </c>
      <c r="I21" s="69">
        <v>259970.38</v>
      </c>
      <c r="J21" s="64">
        <f t="shared" si="1"/>
        <v>340910.08999999991</v>
      </c>
      <c r="L21" s="81">
        <f t="shared" si="2"/>
        <v>259970.38</v>
      </c>
    </row>
    <row r="22" spans="3:12" x14ac:dyDescent="0.25">
      <c r="C22" s="64">
        <v>0</v>
      </c>
      <c r="D22" s="69">
        <v>25797527.690000001</v>
      </c>
      <c r="E22" s="64">
        <f t="shared" si="0"/>
        <v>25797527.690000001</v>
      </c>
      <c r="F22" s="69">
        <v>3525850.7</v>
      </c>
      <c r="G22" s="69">
        <v>0</v>
      </c>
      <c r="H22" s="69">
        <v>3525850.7</v>
      </c>
      <c r="I22" s="69">
        <v>0</v>
      </c>
      <c r="J22" s="64">
        <f t="shared" si="1"/>
        <v>22271676.990000002</v>
      </c>
      <c r="L22" s="81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81">
        <f t="shared" si="2"/>
        <v>0</v>
      </c>
    </row>
    <row r="24" spans="3:12" x14ac:dyDescent="0.25">
      <c r="C24" s="48">
        <f>+C10+C11+C12+C13+C14+C15+C16+C17+C18+C19+C20+C21+C22</f>
        <v>120707460.06000002</v>
      </c>
      <c r="D24" s="48">
        <f t="shared" ref="D24:J24" si="3">+D10+D11+D12+D13+D14+D15+D16+D17+D18+D19+D20+D21+D22</f>
        <v>110008371.18000001</v>
      </c>
      <c r="E24" s="48">
        <f t="shared" si="3"/>
        <v>230715831.24000001</v>
      </c>
      <c r="F24" s="48">
        <f t="shared" si="3"/>
        <v>15560105.629999999</v>
      </c>
      <c r="G24" s="48">
        <f t="shared" si="3"/>
        <v>777260.85</v>
      </c>
      <c r="H24" s="48">
        <f t="shared" si="3"/>
        <v>122077606.13</v>
      </c>
      <c r="I24" s="48">
        <f t="shared" si="3"/>
        <v>105740272.64999999</v>
      </c>
      <c r="J24" s="48">
        <f t="shared" si="3"/>
        <v>108638225.10999998</v>
      </c>
    </row>
    <row r="25" spans="3:12" x14ac:dyDescent="0.25">
      <c r="I25" s="81">
        <f>+I24+G24</f>
        <v>106517533.49999999</v>
      </c>
    </row>
    <row r="26" spans="3:12" x14ac:dyDescent="0.25">
      <c r="C26" s="157" t="s">
        <v>50</v>
      </c>
      <c r="D26" s="158"/>
      <c r="E26" s="158"/>
      <c r="F26" s="158"/>
      <c r="G26" s="158"/>
      <c r="H26" s="158"/>
      <c r="I26" s="159"/>
      <c r="J26" s="146" t="s">
        <v>4</v>
      </c>
    </row>
    <row r="27" spans="3:12" ht="25.5" x14ac:dyDescent="0.25">
      <c r="C27" s="80" t="s">
        <v>5</v>
      </c>
      <c r="D27" s="80" t="s">
        <v>6</v>
      </c>
      <c r="E27" s="80" t="s">
        <v>7</v>
      </c>
      <c r="F27" s="80" t="s">
        <v>8</v>
      </c>
      <c r="G27" s="80" t="s">
        <v>9</v>
      </c>
      <c r="H27" s="80" t="s">
        <v>10</v>
      </c>
      <c r="I27" s="80" t="s">
        <v>11</v>
      </c>
      <c r="J27" s="146"/>
    </row>
    <row r="28" spans="3:12" x14ac:dyDescent="0.25">
      <c r="C28" s="64">
        <v>30226146.120000001</v>
      </c>
      <c r="D28" s="64">
        <f>28360643.39-14776842.8</f>
        <v>13583800.59</v>
      </c>
      <c r="E28" s="64">
        <f>+C28+D28</f>
        <v>43809946.710000001</v>
      </c>
      <c r="F28" s="64">
        <v>16266016.66</v>
      </c>
      <c r="G28" s="81">
        <v>12609549.98</v>
      </c>
      <c r="H28" s="81">
        <v>12609549.98</v>
      </c>
      <c r="I28" s="64">
        <v>12573140.18</v>
      </c>
    </row>
    <row r="29" spans="3:12" x14ac:dyDescent="0.25">
      <c r="C29" s="82">
        <v>7925646.7300000004</v>
      </c>
      <c r="D29" s="83">
        <f>8480111.45-1287175.37</f>
        <v>7192936.0799999991</v>
      </c>
      <c r="E29" s="82">
        <f t="shared" ref="E29:E40" si="4">+C29+D29</f>
        <v>15118582.809999999</v>
      </c>
      <c r="F29" s="83">
        <v>9243882.5</v>
      </c>
      <c r="G29" s="84">
        <v>8650594.6199999992</v>
      </c>
      <c r="H29" s="84">
        <v>8650594.6199999992</v>
      </c>
      <c r="I29" s="83">
        <v>8649373.6199999992</v>
      </c>
    </row>
    <row r="30" spans="3:12" x14ac:dyDescent="0.25">
      <c r="C30" s="64">
        <v>30004358.300000001</v>
      </c>
      <c r="D30" s="64">
        <f>31983984.77-4274707.41</f>
        <v>27709277.359999999</v>
      </c>
      <c r="E30" s="64">
        <f t="shared" si="4"/>
        <v>57713635.659999996</v>
      </c>
      <c r="F30" s="64">
        <v>38287826.689999998</v>
      </c>
      <c r="G30" s="81">
        <v>33236814.280000001</v>
      </c>
      <c r="H30" s="81">
        <v>33236814.280000001</v>
      </c>
      <c r="I30" s="64">
        <v>32699990.25</v>
      </c>
    </row>
    <row r="31" spans="3:12" x14ac:dyDescent="0.25">
      <c r="C31" s="64">
        <v>27386605.75</v>
      </c>
      <c r="D31" s="64">
        <f>27226612.87-45000</f>
        <v>27181612.870000001</v>
      </c>
      <c r="E31" s="64">
        <f t="shared" si="4"/>
        <v>54568218.620000005</v>
      </c>
      <c r="F31" s="64">
        <v>41055086.280000001</v>
      </c>
      <c r="G31" s="81">
        <v>40255886.020000003</v>
      </c>
      <c r="H31" s="81">
        <v>40255886.020000003</v>
      </c>
      <c r="I31" s="64">
        <v>40255886.020000003</v>
      </c>
    </row>
    <row r="32" spans="3:12" x14ac:dyDescent="0.25">
      <c r="C32" s="64">
        <v>3057955.62</v>
      </c>
      <c r="D32" s="64">
        <f>3357201.81-1115782.84</f>
        <v>2241418.9699999997</v>
      </c>
      <c r="E32" s="64">
        <f t="shared" si="4"/>
        <v>5299374.59</v>
      </c>
      <c r="F32" s="64">
        <v>2226530.2799999998</v>
      </c>
      <c r="G32" s="81">
        <v>2164814.4500000002</v>
      </c>
      <c r="H32" s="81">
        <v>2164814.4500000002</v>
      </c>
      <c r="I32" s="64">
        <v>2088961.76</v>
      </c>
    </row>
    <row r="33" spans="3:10" x14ac:dyDescent="0.25">
      <c r="C33" s="64">
        <v>701389.39</v>
      </c>
      <c r="D33" s="64">
        <f>3709738.25-21500</f>
        <v>3688238.25</v>
      </c>
      <c r="E33" s="64">
        <f t="shared" si="4"/>
        <v>4389627.6399999997</v>
      </c>
      <c r="F33" s="64">
        <v>676113.57</v>
      </c>
      <c r="G33" s="81">
        <v>672675.57</v>
      </c>
      <c r="H33" s="81">
        <v>672675.57</v>
      </c>
      <c r="I33" s="64">
        <v>672675.57</v>
      </c>
    </row>
    <row r="34" spans="3:10" x14ac:dyDescent="0.25">
      <c r="C34" s="64">
        <v>2108553.9</v>
      </c>
      <c r="D34" s="64">
        <f>479432.1-100000</f>
        <v>379432.1</v>
      </c>
      <c r="E34" s="64">
        <f t="shared" si="4"/>
        <v>2487986</v>
      </c>
      <c r="F34" s="64">
        <v>1645958.26</v>
      </c>
      <c r="G34" s="81">
        <v>1344946.29</v>
      </c>
      <c r="H34" s="81">
        <v>1344946.29</v>
      </c>
      <c r="I34" s="64">
        <v>1344946.29</v>
      </c>
    </row>
    <row r="35" spans="3:10" x14ac:dyDescent="0.25">
      <c r="C35" s="64">
        <v>2975173.98</v>
      </c>
      <c r="D35" s="64">
        <f>1649329.26-1663876</f>
        <v>-14546.739999999991</v>
      </c>
      <c r="E35" s="64">
        <f t="shared" si="4"/>
        <v>2960627.24</v>
      </c>
      <c r="F35" s="64">
        <v>910612.17</v>
      </c>
      <c r="G35" s="81">
        <v>848827.81</v>
      </c>
      <c r="H35" s="81">
        <v>848827.81</v>
      </c>
      <c r="I35" s="64">
        <v>848827.81</v>
      </c>
    </row>
    <row r="36" spans="3:10" x14ac:dyDescent="0.25">
      <c r="C36" s="64">
        <v>6387532.6699999999</v>
      </c>
      <c r="D36" s="64">
        <f>2742794.11-1208268.6</f>
        <v>1534525.5099999998</v>
      </c>
      <c r="E36" s="64">
        <f t="shared" si="4"/>
        <v>7922058.1799999997</v>
      </c>
      <c r="F36" s="64">
        <v>3636369.49</v>
      </c>
      <c r="G36" s="81">
        <v>2559657.2000000002</v>
      </c>
      <c r="H36" s="81">
        <v>2559657.2000000002</v>
      </c>
      <c r="I36" s="64">
        <v>2452512.08</v>
      </c>
    </row>
    <row r="37" spans="3:10" x14ac:dyDescent="0.25">
      <c r="C37" s="64">
        <v>127291.9</v>
      </c>
      <c r="D37" s="64">
        <v>129489.3</v>
      </c>
      <c r="E37" s="64">
        <f t="shared" si="4"/>
        <v>256781.2</v>
      </c>
      <c r="F37" s="64">
        <v>104985.94</v>
      </c>
      <c r="G37" s="81">
        <v>104884.94</v>
      </c>
      <c r="H37" s="81">
        <v>104884.94</v>
      </c>
      <c r="I37" s="64">
        <v>104884.94</v>
      </c>
    </row>
    <row r="38" spans="3:10" x14ac:dyDescent="0.25">
      <c r="C38" s="64">
        <v>9534341.9600000009</v>
      </c>
      <c r="D38" s="69">
        <f>4228079.64-3972759.1</f>
        <v>255320.53999999957</v>
      </c>
      <c r="E38" s="64">
        <f t="shared" si="4"/>
        <v>9789662.5</v>
      </c>
      <c r="F38" s="69">
        <v>4237481.28</v>
      </c>
      <c r="G38" s="81">
        <v>3808911.96</v>
      </c>
      <c r="H38" s="81">
        <v>3808911.96</v>
      </c>
      <c r="I38" s="69">
        <v>3789103.75</v>
      </c>
    </row>
    <row r="39" spans="3:10" x14ac:dyDescent="0.25">
      <c r="C39" s="64">
        <v>272463.74</v>
      </c>
      <c r="D39" s="69">
        <v>329338.65999999997</v>
      </c>
      <c r="E39" s="64">
        <f t="shared" si="4"/>
        <v>601802.39999999991</v>
      </c>
      <c r="F39" s="69">
        <v>260892.31</v>
      </c>
      <c r="G39" s="81">
        <v>259970.38</v>
      </c>
      <c r="H39" s="81">
        <v>259970.38</v>
      </c>
      <c r="I39" s="69">
        <v>259970.38</v>
      </c>
    </row>
    <row r="40" spans="3:10" x14ac:dyDescent="0.25">
      <c r="C40" s="64">
        <v>0</v>
      </c>
      <c r="D40" s="69">
        <v>25797527.690000001</v>
      </c>
      <c r="E40" s="64">
        <f t="shared" si="4"/>
        <v>25797527.690000001</v>
      </c>
      <c r="F40" s="69">
        <v>3525850.7</v>
      </c>
      <c r="G40">
        <v>0</v>
      </c>
      <c r="I40" s="69">
        <v>0</v>
      </c>
    </row>
    <row r="41" spans="3:10" x14ac:dyDescent="0.25">
      <c r="C41" s="48">
        <f t="shared" ref="C41:J41" si="5">+SUM(C28:C40)</f>
        <v>120707460.06000002</v>
      </c>
      <c r="D41" s="48">
        <f t="shared" si="5"/>
        <v>110008371.18000001</v>
      </c>
      <c r="E41" s="48">
        <f t="shared" si="5"/>
        <v>230715831.24000001</v>
      </c>
      <c r="F41" s="48">
        <f t="shared" si="5"/>
        <v>122077606.13</v>
      </c>
      <c r="G41" s="48">
        <f t="shared" si="5"/>
        <v>106517533.5</v>
      </c>
      <c r="H41" s="48">
        <f t="shared" si="5"/>
        <v>106517533.5</v>
      </c>
      <c r="I41" s="48">
        <f t="shared" si="5"/>
        <v>105740272.64999999</v>
      </c>
      <c r="J41" s="48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2018-04-30T21:32:15Z</cp:lastPrinted>
  <dcterms:created xsi:type="dcterms:W3CDTF">2016-06-09T15:26:15Z</dcterms:created>
  <dcterms:modified xsi:type="dcterms:W3CDTF">2018-04-30T21:32:42Z</dcterms:modified>
</cp:coreProperties>
</file>