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yPI" sheetId="1" r:id="rId1"/>
  </sheets>
  <definedNames>
    <definedName name="_xlnm.Print_Area" localSheetId="0">PyPI!$B$1:$Q$40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" l="1"/>
  <c r="M96" i="1"/>
  <c r="L96" i="1"/>
  <c r="K96" i="1"/>
  <c r="H96" i="1"/>
  <c r="N94" i="1"/>
  <c r="M94" i="1"/>
  <c r="L94" i="1"/>
  <c r="K94" i="1"/>
  <c r="H94" i="1"/>
  <c r="N91" i="1"/>
  <c r="N98" i="1" s="1"/>
  <c r="M91" i="1"/>
  <c r="M98" i="1" s="1"/>
  <c r="L91" i="1"/>
  <c r="L98" i="1" s="1"/>
  <c r="K91" i="1"/>
  <c r="K98" i="1" s="1"/>
  <c r="H91" i="1"/>
  <c r="H98" i="1" s="1"/>
  <c r="N57" i="1"/>
  <c r="M57" i="1"/>
  <c r="L57" i="1"/>
  <c r="K57" i="1"/>
  <c r="H57" i="1"/>
  <c r="H63" i="1" s="1"/>
  <c r="N55" i="1"/>
  <c r="M55" i="1"/>
  <c r="L55" i="1"/>
  <c r="K55" i="1"/>
  <c r="H55" i="1"/>
  <c r="N53" i="1"/>
  <c r="N59" i="1" s="1"/>
  <c r="M53" i="1"/>
  <c r="M59" i="1" s="1"/>
  <c r="L53" i="1"/>
  <c r="L59" i="1" s="1"/>
  <c r="K53" i="1"/>
  <c r="K59" i="1" s="1"/>
  <c r="K60" i="1" s="1"/>
  <c r="H53" i="1"/>
  <c r="H59" i="1" s="1"/>
  <c r="N47" i="1"/>
  <c r="M47" i="1"/>
  <c r="L47" i="1"/>
  <c r="K47" i="1"/>
  <c r="H47" i="1"/>
  <c r="N45" i="1"/>
  <c r="M45" i="1"/>
  <c r="L45" i="1"/>
  <c r="K45" i="1"/>
  <c r="H45" i="1"/>
  <c r="N43" i="1"/>
  <c r="N49" i="1" s="1"/>
  <c r="M43" i="1"/>
  <c r="M49" i="1" s="1"/>
  <c r="L43" i="1"/>
  <c r="L49" i="1" s="1"/>
  <c r="K43" i="1"/>
  <c r="K49" i="1" s="1"/>
  <c r="H43" i="1"/>
  <c r="H49" i="1" s="1"/>
  <c r="AH32" i="1"/>
  <c r="AF32" i="1"/>
  <c r="AC32" i="1"/>
  <c r="AB32" i="1"/>
  <c r="Y32" i="1"/>
  <c r="X32" i="1"/>
  <c r="W32" i="1"/>
  <c r="T32" i="1"/>
  <c r="S32" i="1"/>
  <c r="N32" i="1"/>
  <c r="N99" i="1" s="1"/>
  <c r="M32" i="1"/>
  <c r="M99" i="1" s="1"/>
  <c r="L32" i="1"/>
  <c r="L60" i="1" s="1"/>
  <c r="K32" i="1"/>
  <c r="K99" i="1" s="1"/>
  <c r="H32" i="1"/>
  <c r="AA31" i="1"/>
  <c r="Z31" i="1"/>
  <c r="AG30" i="1"/>
  <c r="AA30" i="1"/>
  <c r="Z30" i="1"/>
  <c r="V30" i="1"/>
  <c r="U30" i="1"/>
  <c r="J30" i="1"/>
  <c r="O30" i="1" s="1"/>
  <c r="AG29" i="1"/>
  <c r="AA29" i="1"/>
  <c r="Z29" i="1"/>
  <c r="V29" i="1"/>
  <c r="U29" i="1"/>
  <c r="J29" i="1"/>
  <c r="O29" i="1" s="1"/>
  <c r="AG28" i="1"/>
  <c r="AA28" i="1"/>
  <c r="Z28" i="1"/>
  <c r="V28" i="1"/>
  <c r="U28" i="1"/>
  <c r="J28" i="1"/>
  <c r="O28" i="1" s="1"/>
  <c r="AG27" i="1"/>
  <c r="AA27" i="1"/>
  <c r="Z27" i="1"/>
  <c r="V27" i="1"/>
  <c r="U27" i="1"/>
  <c r="J27" i="1"/>
  <c r="O27" i="1" s="1"/>
  <c r="I27" i="1"/>
  <c r="AG26" i="1"/>
  <c r="AA26" i="1"/>
  <c r="Z26" i="1"/>
  <c r="V26" i="1"/>
  <c r="U26" i="1"/>
  <c r="P26" i="1"/>
  <c r="J26" i="1"/>
  <c r="Q26" i="1" s="1"/>
  <c r="I26" i="1"/>
  <c r="AG25" i="1"/>
  <c r="AA25" i="1"/>
  <c r="Z25" i="1"/>
  <c r="V25" i="1"/>
  <c r="U25" i="1"/>
  <c r="P25" i="1"/>
  <c r="J25" i="1"/>
  <c r="O25" i="1" s="1"/>
  <c r="I25" i="1"/>
  <c r="AG24" i="1"/>
  <c r="AA24" i="1"/>
  <c r="Z24" i="1"/>
  <c r="V24" i="1"/>
  <c r="U24" i="1"/>
  <c r="P24" i="1"/>
  <c r="J24" i="1"/>
  <c r="Q24" i="1" s="1"/>
  <c r="I24" i="1"/>
  <c r="AG23" i="1"/>
  <c r="AA23" i="1"/>
  <c r="Z23" i="1"/>
  <c r="V23" i="1"/>
  <c r="U23" i="1"/>
  <c r="P23" i="1"/>
  <c r="J23" i="1"/>
  <c r="O23" i="1" s="1"/>
  <c r="I23" i="1"/>
  <c r="AG22" i="1"/>
  <c r="AA22" i="1"/>
  <c r="Z22" i="1"/>
  <c r="V22" i="1"/>
  <c r="U22" i="1"/>
  <c r="P22" i="1"/>
  <c r="J22" i="1"/>
  <c r="Q22" i="1" s="1"/>
  <c r="I22" i="1"/>
  <c r="AG21" i="1"/>
  <c r="AA21" i="1"/>
  <c r="Z21" i="1"/>
  <c r="V21" i="1"/>
  <c r="U21" i="1"/>
  <c r="P21" i="1"/>
  <c r="J21" i="1"/>
  <c r="O21" i="1" s="1"/>
  <c r="I21" i="1"/>
  <c r="AG20" i="1"/>
  <c r="AA20" i="1"/>
  <c r="Z20" i="1"/>
  <c r="V20" i="1"/>
  <c r="U20" i="1"/>
  <c r="P20" i="1"/>
  <c r="J20" i="1"/>
  <c r="Q20" i="1" s="1"/>
  <c r="AG19" i="1"/>
  <c r="AA19" i="1"/>
  <c r="Z19" i="1"/>
  <c r="V19" i="1"/>
  <c r="U19" i="1"/>
  <c r="P19" i="1"/>
  <c r="I19" i="1"/>
  <c r="J19" i="1" s="1"/>
  <c r="AG18" i="1"/>
  <c r="AA18" i="1"/>
  <c r="Z18" i="1"/>
  <c r="V18" i="1"/>
  <c r="U18" i="1"/>
  <c r="P18" i="1"/>
  <c r="I18" i="1"/>
  <c r="J18" i="1" s="1"/>
  <c r="AG17" i="1"/>
  <c r="AA17" i="1"/>
  <c r="Z17" i="1"/>
  <c r="V17" i="1"/>
  <c r="U17" i="1"/>
  <c r="P17" i="1"/>
  <c r="I17" i="1"/>
  <c r="J17" i="1" s="1"/>
  <c r="AG16" i="1"/>
  <c r="AA16" i="1"/>
  <c r="Z16" i="1"/>
  <c r="V16" i="1"/>
  <c r="U16" i="1"/>
  <c r="P16" i="1"/>
  <c r="I16" i="1"/>
  <c r="J16" i="1" s="1"/>
  <c r="AG15" i="1"/>
  <c r="AA15" i="1"/>
  <c r="Z15" i="1"/>
  <c r="V15" i="1"/>
  <c r="U15" i="1"/>
  <c r="P15" i="1"/>
  <c r="I15" i="1"/>
  <c r="J15" i="1" s="1"/>
  <c r="AG14" i="1"/>
  <c r="AA14" i="1"/>
  <c r="Z14" i="1"/>
  <c r="V14" i="1"/>
  <c r="U14" i="1"/>
  <c r="P14" i="1"/>
  <c r="I14" i="1"/>
  <c r="I94" i="1" s="1"/>
  <c r="AG13" i="1"/>
  <c r="AA13" i="1"/>
  <c r="Z13" i="1"/>
  <c r="V13" i="1"/>
  <c r="U13" i="1"/>
  <c r="P13" i="1"/>
  <c r="I13" i="1"/>
  <c r="I91" i="1" s="1"/>
  <c r="AG12" i="1"/>
  <c r="AA12" i="1"/>
  <c r="Z12" i="1"/>
  <c r="V12" i="1"/>
  <c r="U12" i="1"/>
  <c r="P12" i="1"/>
  <c r="I12" i="1"/>
  <c r="J12" i="1" s="1"/>
  <c r="AG11" i="1"/>
  <c r="AA11" i="1"/>
  <c r="Z11" i="1"/>
  <c r="V11" i="1"/>
  <c r="U11" i="1"/>
  <c r="P11" i="1"/>
  <c r="I11" i="1"/>
  <c r="J11" i="1" s="1"/>
  <c r="AG10" i="1"/>
  <c r="AG32" i="1" s="1"/>
  <c r="AA10" i="1"/>
  <c r="AA32" i="1" s="1"/>
  <c r="Z10" i="1"/>
  <c r="Z32" i="1" s="1"/>
  <c r="V10" i="1"/>
  <c r="V32" i="1" s="1"/>
  <c r="U10" i="1"/>
  <c r="U32" i="1" s="1"/>
  <c r="P10" i="1"/>
  <c r="I10" i="1"/>
  <c r="I96" i="1" s="1"/>
  <c r="Q11" i="1" l="1"/>
  <c r="J53" i="1"/>
  <c r="J45" i="1"/>
  <c r="O11" i="1"/>
  <c r="Q15" i="1"/>
  <c r="O15" i="1"/>
  <c r="O19" i="1"/>
  <c r="Q19" i="1"/>
  <c r="O16" i="1"/>
  <c r="Q16" i="1"/>
  <c r="Q18" i="1"/>
  <c r="O18" i="1"/>
  <c r="H60" i="1"/>
  <c r="J57" i="1"/>
  <c r="Q12" i="1"/>
  <c r="O12" i="1"/>
  <c r="I98" i="1"/>
  <c r="Q17" i="1"/>
  <c r="O17" i="1"/>
  <c r="Q27" i="1"/>
  <c r="Q28" i="1"/>
  <c r="Q29" i="1"/>
  <c r="Q30" i="1"/>
  <c r="R32" i="1"/>
  <c r="I43" i="1"/>
  <c r="I49" i="1" s="1"/>
  <c r="I45" i="1"/>
  <c r="I47" i="1"/>
  <c r="I53" i="1"/>
  <c r="I55" i="1"/>
  <c r="I57" i="1"/>
  <c r="M60" i="1"/>
  <c r="H99" i="1"/>
  <c r="L99" i="1"/>
  <c r="J13" i="1"/>
  <c r="J10" i="1"/>
  <c r="J14" i="1"/>
  <c r="O20" i="1"/>
  <c r="Q21" i="1"/>
  <c r="O22" i="1"/>
  <c r="Q23" i="1"/>
  <c r="O24" i="1"/>
  <c r="Q25" i="1"/>
  <c r="O26" i="1"/>
  <c r="I32" i="1"/>
  <c r="N60" i="1"/>
  <c r="J55" i="1" l="1"/>
  <c r="J59" i="1" s="1"/>
  <c r="J43" i="1"/>
  <c r="Q10" i="1"/>
  <c r="J32" i="1"/>
  <c r="O10" i="1"/>
  <c r="J96" i="1"/>
  <c r="O53" i="1"/>
  <c r="O45" i="1"/>
  <c r="J91" i="1"/>
  <c r="O13" i="1"/>
  <c r="O91" i="1" s="1"/>
  <c r="Q13" i="1"/>
  <c r="J47" i="1"/>
  <c r="I99" i="1"/>
  <c r="J94" i="1"/>
  <c r="O14" i="1"/>
  <c r="O94" i="1" s="1"/>
  <c r="Q14" i="1"/>
  <c r="I59" i="1"/>
  <c r="I60" i="1" s="1"/>
  <c r="O57" i="1"/>
  <c r="O47" i="1"/>
  <c r="O96" i="1" l="1"/>
  <c r="O98" i="1" s="1"/>
  <c r="O32" i="1"/>
  <c r="O55" i="1"/>
  <c r="O43" i="1"/>
  <c r="O49" i="1" s="1"/>
  <c r="J60" i="1"/>
  <c r="O59" i="1"/>
  <c r="J98" i="1"/>
  <c r="J99" i="1" s="1"/>
  <c r="J49" i="1"/>
  <c r="O99" i="1" l="1"/>
  <c r="O60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<sst xmlns="http://schemas.openxmlformats.org/spreadsheetml/2006/main" count="134" uniqueCount="83">
  <si>
    <t>PROGRAMAS Y PROYECTOS DE INVERSIÓN</t>
  </si>
  <si>
    <t>Del 1 de Enero al 30  de Junio  de 2017</t>
  </si>
  <si>
    <t>Ente Público:</t>
  </si>
  <si>
    <t xml:space="preserve">UNIVERSIDAD TECNOLOGICA DE LEON 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</si>
  <si>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</si>
  <si>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</si>
  <si>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</si>
  <si>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</si>
  <si>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</si>
  <si>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</si>
  <si>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</si>
  <si>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</si>
  <si>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</si>
  <si>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</si>
  <si>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</si>
  <si>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</si>
  <si>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</si>
  <si>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</si>
  <si>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</si>
  <si>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</si>
  <si>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 xml:space="preserve">comprometido </t>
  </si>
  <si>
    <t xml:space="preserve">devengado </t>
  </si>
  <si>
    <t xml:space="preserve">ejercido </t>
  </si>
  <si>
    <t>pagado</t>
  </si>
  <si>
    <t xml:space="preserve">COMPROMETIDO </t>
  </si>
  <si>
    <t xml:space="preserve">DEVENGADO </t>
  </si>
  <si>
    <t xml:space="preserve">EJERCIDO </t>
  </si>
  <si>
    <t xml:space="preserve">OAGADO </t>
  </si>
  <si>
    <t>3 = (1 + 2 )</t>
  </si>
  <si>
    <t>6 = ( 3 - 5 )</t>
  </si>
  <si>
    <t>5/1</t>
  </si>
  <si>
    <t>5/3</t>
  </si>
  <si>
    <t xml:space="preserve">ADMINISTRACION DE LO </t>
  </si>
  <si>
    <t>G1034</t>
  </si>
  <si>
    <t>C0601</t>
  </si>
  <si>
    <t>OPERACIÓN DE LA PLANT</t>
  </si>
  <si>
    <t>G1146</t>
  </si>
  <si>
    <t>C0101</t>
  </si>
  <si>
    <t>G1154</t>
  </si>
  <si>
    <t xml:space="preserve">DIRECCION ESTRATEGICA </t>
  </si>
  <si>
    <t>G2025</t>
  </si>
  <si>
    <t xml:space="preserve">ADMINISTRACION E IM </t>
  </si>
  <si>
    <t>P0439</t>
  </si>
  <si>
    <t>C0201</t>
  </si>
  <si>
    <t>APLICACION DE PLANES</t>
  </si>
  <si>
    <t>P0440</t>
  </si>
  <si>
    <t>CAPACITACION Y CERT</t>
  </si>
  <si>
    <t>P0442</t>
  </si>
  <si>
    <t>CURSOS Y EVENTOS DE</t>
  </si>
  <si>
    <t>P0443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</si>
  <si>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</si>
  <si>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</si>
  <si>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</si>
  <si>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</si>
  <si>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</si>
  <si>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</si>
  <si>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</si>
  <si>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</si>
  <si>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>C0301</t>
  </si>
  <si>
    <t xml:space="preserve">REALIZACION DE FOROS </t>
  </si>
  <si>
    <t>P0450</t>
  </si>
  <si>
    <t>PROFESIONALIZACION DE</t>
  </si>
  <si>
    <t>P2437</t>
  </si>
  <si>
    <t>ADMISNTRACION E IMP</t>
  </si>
  <si>
    <t>P2748</t>
  </si>
  <si>
    <t>C1101</t>
  </si>
  <si>
    <t>P2749</t>
  </si>
  <si>
    <t>C1102</t>
  </si>
  <si>
    <t xml:space="preserve">VINCULACION Y DIFUSION </t>
  </si>
  <si>
    <t>P2782</t>
  </si>
  <si>
    <t xml:space="preserve">INFRAESTRUCTURA UTL </t>
  </si>
  <si>
    <t>Q0592</t>
  </si>
  <si>
    <t>P0439.0001</t>
  </si>
  <si>
    <t>P0439.0002</t>
  </si>
  <si>
    <t>P0445.0001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</si>
  <si>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</si>
  <si>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</si>
  <si>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</si>
  <si>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</si>
  <si>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</si>
  <si>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Director de Administracion y Finanzas </t>
  </si>
  <si>
    <t>G0102</t>
  </si>
  <si>
    <t>P0441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</si>
</sst>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right" vertical="center" wrapText="1"/>
    </xf>
    <xf numFmtId="4" fontId="0" fillId="0" borderId="5" xfId="0" applyNumberFormat="1" applyFill="1" applyBorder="1" applyAlignment="1">
      <alignment wrapText="1"/>
    </xf>
    <xf numFmtId="4" fontId="0" fillId="0" borderId="0" xfId="0" applyNumberFormat="1" applyFill="1"/>
    <xf numFmtId="4" fontId="3" fillId="0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0" fillId="0" borderId="5" xfId="0" applyNumberFormat="1" applyBorder="1"/>
    <xf numFmtId="4" fontId="3" fillId="0" borderId="12" xfId="0" applyNumberFormat="1" applyFont="1" applyFill="1" applyBorder="1" applyAlignment="1">
      <alignment horizontal="right" vertical="center" wrapText="1"/>
    </xf>
    <xf numFmtId="9" fontId="3" fillId="0" borderId="12" xfId="1" applyFont="1" applyFill="1" applyBorder="1"/>
    <xf numFmtId="4" fontId="3" fillId="0" borderId="0" xfId="0" applyNumberFormat="1" applyFont="1" applyFill="1"/>
    <xf numFmtId="0" fontId="3" fillId="0" borderId="0" xfId="0" applyFont="1" applyFill="1"/>
    <xf numFmtId="4" fontId="0" fillId="0" borderId="0" xfId="0" applyNumberFormat="1" applyBorder="1"/>
    <xf numFmtId="0" fontId="3" fillId="0" borderId="12" xfId="0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>
      <alignment wrapText="1"/>
    </xf>
    <xf numFmtId="4" fontId="0" fillId="0" borderId="12" xfId="0" applyNumberFormat="1" applyBorder="1"/>
    <xf numFmtId="4" fontId="3" fillId="0" borderId="12" xfId="0" applyNumberFormat="1" applyFont="1" applyFill="1" applyBorder="1"/>
    <xf numFmtId="3" fontId="3" fillId="0" borderId="12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4" fontId="0" fillId="0" borderId="15" xfId="0" applyNumberFormat="1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3" fillId="3" borderId="12" xfId="0" applyFont="1" applyFill="1" applyBorder="1" applyAlignment="1">
      <alignment horizontal="right" vertical="center" wrapText="1"/>
    </xf>
    <xf numFmtId="9" fontId="3" fillId="3" borderId="12" xfId="1" applyFont="1" applyFill="1" applyBorder="1"/>
    <xf numFmtId="9" fontId="3" fillId="0" borderId="12" xfId="1" applyFont="1" applyBorder="1"/>
    <xf numFmtId="0" fontId="3" fillId="3" borderId="15" xfId="0" applyFont="1" applyFill="1" applyBorder="1" applyAlignment="1">
      <alignment horizontal="right" vertical="center" wrapText="1"/>
    </xf>
    <xf numFmtId="4" fontId="3" fillId="0" borderId="0" xfId="0" applyNumberFormat="1" applyFont="1"/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9" fontId="5" fillId="3" borderId="6" xfId="1" applyFont="1" applyFill="1" applyBorder="1" applyAlignment="1">
      <alignment horizontal="center"/>
    </xf>
    <xf numFmtId="9" fontId="5" fillId="3" borderId="8" xfId="1" applyFont="1" applyFill="1" applyBorder="1" applyAlignment="1">
      <alignment horizontal="center"/>
    </xf>
    <xf numFmtId="4" fontId="5" fillId="0" borderId="0" xfId="0" applyNumberFormat="1" applyFont="1"/>
    <xf numFmtId="4" fontId="5" fillId="3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4" fontId="3" fillId="3" borderId="0" xfId="0" applyNumberFormat="1" applyFont="1" applyFill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I100"/>
  <sheetViews>
    <sheetView showGridLines="0" tabSelected="1" topLeftCell="B1" zoomScale="85" zoomScaleNormal="85" workbookViewId="0">
      <selection activeCell="B1" sqref="B1:O1"/>
    </sheetView>
  </sheetViews>
  <sheetFormatPr baseColWidth="10" defaultColWidth="11.375" defaultRowHeight="12.75"/>
  <cols>
    <col min="1" max="1" width="2.125" style="2" customWidth="1"/>
    <col min="2" max="3" width="3.75" style="3" customWidth="1"/>
    <col min="4" max="4" width="68.375" style="3" customWidth="1"/>
    <col min="5" max="5" width="12.75" style="3" customWidth="1"/>
    <col min="6" max="6" width="28" style="3" customWidth="1"/>
    <col min="7" max="7" width="14.625" style="3" customWidth="1"/>
    <col min="8" max="8" width="14.75" style="3" customWidth="1"/>
    <col min="9" max="9" width="14.625" style="3" customWidth="1"/>
    <col min="10" max="10" width="14.875" style="3" customWidth="1"/>
    <col min="11" max="11" width="16.75" style="3" customWidth="1"/>
    <col min="12" max="12" width="15" style="3" customWidth="1"/>
    <col min="13" max="13" width="16.375" style="3" customWidth="1"/>
    <col min="14" max="14" width="14.25" style="3" customWidth="1"/>
    <col min="15" max="15" width="14.375" style="3" customWidth="1"/>
    <col min="16" max="16" width="14.625" style="2" customWidth="1"/>
    <col min="17" max="17" width="14" style="3" customWidth="1"/>
    <col min="18" max="18" width="12.75" style="3" hidden="1" customWidth="1"/>
    <col min="19" max="19" width="13.75" style="3" hidden="1" customWidth="1"/>
    <col min="20" max="20" width="14.875" style="3" hidden="1" customWidth="1"/>
    <col min="21" max="21" width="13.875" style="3" hidden="1" customWidth="1"/>
    <col min="22" max="22" width="14.375" style="3" hidden="1" customWidth="1"/>
    <col min="23" max="23" width="13.75" style="3" hidden="1" customWidth="1"/>
    <col min="24" max="24" width="14.375" style="3" hidden="1" customWidth="1"/>
    <col min="25" max="25" width="14.75" style="3" hidden="1" customWidth="1"/>
    <col min="26" max="26" width="15.625" style="3" hidden="1" customWidth="1"/>
    <col min="27" max="27" width="13.875" style="3" hidden="1" customWidth="1"/>
    <col min="28" max="28" width="16" style="3" hidden="1" customWidth="1"/>
    <col min="29" max="29" width="14.875" style="3" hidden="1" customWidth="1"/>
    <col min="30" max="30" width="12.75" style="3" bestFit="1" customWidth="1"/>
    <col min="31" max="31" width="11.375" style="3"/>
    <col min="32" max="32" width="15.625" style="3" customWidth="1"/>
    <col min="33" max="33" width="14.875" style="3" customWidth="1"/>
    <col min="34" max="34" width="14.375" style="3" customWidth="1"/>
    <col min="35" max="35" width="11.375" style="3" customWidth="1"/>
    <col min="36" max="16384" width="11.375" style="3"/>
  </cols>
  <sheetData>
    <row r="1" spans="2:35" ht="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5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35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5" s="2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5" s="2" customFormat="1" ht="24" customHeight="1">
      <c r="D5" s="5" t="s">
        <v>2</v>
      </c>
      <c r="E5" s="6" t="s">
        <v>3</v>
      </c>
      <c r="F5" s="6"/>
      <c r="G5" s="7"/>
      <c r="H5" s="8"/>
      <c r="I5" s="8"/>
      <c r="J5" s="8"/>
      <c r="K5" s="8"/>
      <c r="L5" s="9"/>
      <c r="M5" s="9"/>
      <c r="N5" s="10"/>
      <c r="O5" s="4"/>
    </row>
    <row r="6" spans="2:35" s="2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35" ht="15" customHeight="1">
      <c r="B7" s="11" t="s">
        <v>4</v>
      </c>
      <c r="C7" s="12"/>
      <c r="D7" s="13"/>
      <c r="E7" s="14" t="s">
        <v>5</v>
      </c>
      <c r="F7" s="15"/>
      <c r="G7" s="14" t="s">
        <v>6</v>
      </c>
      <c r="H7" s="16" t="s">
        <v>7</v>
      </c>
      <c r="I7" s="17"/>
      <c r="J7" s="17"/>
      <c r="K7" s="17"/>
      <c r="L7" s="17"/>
      <c r="M7" s="17"/>
      <c r="N7" s="18"/>
      <c r="O7" s="19" t="s">
        <v>8</v>
      </c>
      <c r="P7" s="20" t="s">
        <v>9</v>
      </c>
      <c r="Q7" s="21"/>
    </row>
    <row r="8" spans="2:35" ht="25.5">
      <c r="B8" s="22"/>
      <c r="C8" s="23"/>
      <c r="D8" s="24"/>
      <c r="E8" s="25"/>
      <c r="F8" s="26" t="s">
        <v>10</v>
      </c>
      <c r="G8" s="25"/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  <c r="N8" s="27" t="s">
        <v>17</v>
      </c>
      <c r="O8" s="19"/>
      <c r="P8" s="28" t="s">
        <v>18</v>
      </c>
      <c r="Q8" s="28" t="s">
        <v>19</v>
      </c>
      <c r="S8" s="3" t="s">
        <v>20</v>
      </c>
      <c r="W8" s="3" t="s">
        <v>21</v>
      </c>
      <c r="X8" s="3" t="s">
        <v>22</v>
      </c>
      <c r="Y8" s="3" t="s">
        <v>23</v>
      </c>
      <c r="Z8" s="3" t="s">
        <v>24</v>
      </c>
      <c r="AA8" s="3" t="s">
        <v>25</v>
      </c>
      <c r="AB8" s="3" t="s">
        <v>26</v>
      </c>
      <c r="AC8" s="3" t="s">
        <v>27</v>
      </c>
    </row>
    <row r="9" spans="2:35" ht="15.75" customHeight="1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28</v>
      </c>
      <c r="K9" s="27">
        <v>4</v>
      </c>
      <c r="L9" s="27">
        <v>5</v>
      </c>
      <c r="M9" s="27">
        <v>6</v>
      </c>
      <c r="N9" s="27">
        <v>7</v>
      </c>
      <c r="O9" s="27" t="s">
        <v>29</v>
      </c>
      <c r="P9" s="34" t="s">
        <v>30</v>
      </c>
      <c r="Q9" s="34" t="s">
        <v>31</v>
      </c>
      <c r="AF9" s="3">
        <v>1</v>
      </c>
      <c r="AG9" s="3">
        <v>2</v>
      </c>
    </row>
    <row r="10" spans="2:35" s="48" customFormat="1" ht="14.25">
      <c r="B10" s="35"/>
      <c r="C10" s="36"/>
      <c r="D10" s="37" t="s">
        <v>32</v>
      </c>
      <c r="E10" s="38" t="s">
        <v>33</v>
      </c>
      <c r="F10" s="37" t="s">
        <v>32</v>
      </c>
      <c r="G10" s="39" t="s">
        <v>34</v>
      </c>
      <c r="H10" s="40">
        <v>38720706.039999999</v>
      </c>
      <c r="I10" s="41">
        <f>12365464.95-4217389.03</f>
        <v>8148075.919999999</v>
      </c>
      <c r="J10" s="42">
        <f>+H10+I10</f>
        <v>46868781.960000001</v>
      </c>
      <c r="K10" s="43">
        <v>23182394.91</v>
      </c>
      <c r="L10" s="44">
        <v>9247235.6400000006</v>
      </c>
      <c r="M10" s="44">
        <v>9247235.6400000006</v>
      </c>
      <c r="N10" s="44">
        <v>8280019.8799999999</v>
      </c>
      <c r="O10" s="45">
        <f>+J10-L10</f>
        <v>37621546.32</v>
      </c>
      <c r="P10" s="46">
        <f>+L10/H10</f>
        <v>0.2388188797602824</v>
      </c>
      <c r="Q10" s="46">
        <f>L10/J10</f>
        <v>0.19730053253553767</v>
      </c>
      <c r="R10" s="47"/>
      <c r="S10" s="48">
        <v>24370229.219999999</v>
      </c>
      <c r="T10" s="48">
        <v>23168465.469999999</v>
      </c>
      <c r="U10" s="47">
        <f>+N10+L10</f>
        <v>17527255.52</v>
      </c>
      <c r="V10" s="47">
        <f>+N10+L10</f>
        <v>17527255.52</v>
      </c>
      <c r="W10" s="48">
        <v>20771463.530000001</v>
      </c>
      <c r="X10" s="48">
        <v>20771463.530000001</v>
      </c>
      <c r="Y10" s="47">
        <v>20557319.620000001</v>
      </c>
      <c r="Z10" s="43">
        <f>+K10+L10+N10</f>
        <v>40709650.43</v>
      </c>
      <c r="AA10" s="49">
        <f>+L10+N10</f>
        <v>17527255.52</v>
      </c>
      <c r="AB10" s="47">
        <v>2369572.52</v>
      </c>
      <c r="AC10" s="47">
        <v>2009411.42</v>
      </c>
      <c r="AF10" s="48">
        <v>23182394.91</v>
      </c>
      <c r="AG10" s="47">
        <f>+L10+N10</f>
        <v>17527255.52</v>
      </c>
      <c r="AH10" s="48">
        <v>9247235.6400000006</v>
      </c>
      <c r="AI10" s="48">
        <v>8280019.8799999999</v>
      </c>
    </row>
    <row r="11" spans="2:35" s="48" customFormat="1" ht="12.75" customHeight="1">
      <c r="B11" s="35"/>
      <c r="C11" s="36"/>
      <c r="D11" s="37" t="s">
        <v>35</v>
      </c>
      <c r="E11" s="38" t="s">
        <v>36</v>
      </c>
      <c r="F11" s="37" t="s">
        <v>35</v>
      </c>
      <c r="G11" s="50" t="s">
        <v>37</v>
      </c>
      <c r="H11" s="51">
        <v>1048188.56</v>
      </c>
      <c r="I11" s="41">
        <f>1051259.49-8600</f>
        <v>1042659.49</v>
      </c>
      <c r="J11" s="45">
        <f t="shared" ref="J11:J30" si="0">+H11+I11</f>
        <v>2090848.05</v>
      </c>
      <c r="K11" s="43">
        <v>634259</v>
      </c>
      <c r="L11" s="52">
        <v>612042.80999999994</v>
      </c>
      <c r="M11" s="43">
        <v>612042.80999999994</v>
      </c>
      <c r="N11" s="52">
        <v>608202.37</v>
      </c>
      <c r="O11" s="45">
        <f t="shared" ref="O11:O30" si="1">+J11-L11</f>
        <v>1478805.2400000002</v>
      </c>
      <c r="P11" s="46">
        <f t="shared" ref="P11:P26" si="2">L11/H11</f>
        <v>0.58390525651224423</v>
      </c>
      <c r="Q11" s="46">
        <f t="shared" ref="Q11:Q26" si="3">L11/J11</f>
        <v>0.29272467217309261</v>
      </c>
      <c r="R11" s="47"/>
      <c r="S11" s="48">
        <v>14757097.369999999</v>
      </c>
      <c r="T11" s="48">
        <v>11338380.720000001</v>
      </c>
      <c r="U11" s="47">
        <f t="shared" ref="U11:U30" si="4">+N11+L11</f>
        <v>1220245.18</v>
      </c>
      <c r="V11" s="47">
        <f t="shared" ref="V11:V30" si="5">+N11+L11</f>
        <v>1220245.18</v>
      </c>
      <c r="W11" s="48">
        <v>13224420.92</v>
      </c>
      <c r="X11" s="48">
        <v>13224420.92</v>
      </c>
      <c r="Y11" s="53">
        <v>13212914.82</v>
      </c>
      <c r="Z11" s="43">
        <f t="shared" ref="Z11:Z31" si="6">+K11+L11+N11</f>
        <v>1854504.1800000002</v>
      </c>
      <c r="AA11" s="49">
        <f t="shared" ref="AA11:AA31" si="7">+L11+N11</f>
        <v>1220245.18</v>
      </c>
      <c r="AB11" s="47">
        <v>201111.72</v>
      </c>
      <c r="AC11" s="47">
        <v>201111.72</v>
      </c>
      <c r="AF11" s="48">
        <v>634259</v>
      </c>
      <c r="AG11" s="47">
        <f t="shared" ref="AG11:AG30" si="8">+L11+N11</f>
        <v>1220245.18</v>
      </c>
      <c r="AH11" s="48">
        <v>612042.80999999994</v>
      </c>
      <c r="AI11" s="48">
        <v>608202.37</v>
      </c>
    </row>
    <row r="12" spans="2:35" s="48" customFormat="1" ht="14.25">
      <c r="B12" s="35"/>
      <c r="C12" s="36"/>
      <c r="D12" s="37" t="s">
        <v>32</v>
      </c>
      <c r="E12" s="38" t="s">
        <v>38</v>
      </c>
      <c r="F12" s="37" t="s">
        <v>32</v>
      </c>
      <c r="G12" s="54" t="s">
        <v>37</v>
      </c>
      <c r="H12" s="51">
        <v>10168808.01</v>
      </c>
      <c r="I12" s="41">
        <f>5655855.78-106777.13</f>
        <v>5549078.6500000004</v>
      </c>
      <c r="J12" s="45">
        <f t="shared" si="0"/>
        <v>15717886.66</v>
      </c>
      <c r="K12" s="43">
        <v>7149831.3399999999</v>
      </c>
      <c r="L12" s="52">
        <v>3764179.6199999996</v>
      </c>
      <c r="M12" s="43">
        <v>3764178.82</v>
      </c>
      <c r="N12" s="52">
        <v>3751698.82</v>
      </c>
      <c r="O12" s="45">
        <f t="shared" si="1"/>
        <v>11953707.040000001</v>
      </c>
      <c r="P12" s="46">
        <f t="shared" si="2"/>
        <v>0.37016920924245078</v>
      </c>
      <c r="Q12" s="46">
        <f t="shared" si="3"/>
        <v>0.23948382511112976</v>
      </c>
      <c r="R12" s="47"/>
      <c r="S12" s="48">
        <v>54109289.549999997</v>
      </c>
      <c r="T12" s="48">
        <v>48020738.659999996</v>
      </c>
      <c r="U12" s="47">
        <f t="shared" si="4"/>
        <v>7515878.4399999995</v>
      </c>
      <c r="V12" s="47">
        <f t="shared" si="5"/>
        <v>7515878.4399999995</v>
      </c>
      <c r="W12" s="48">
        <v>49493967.280000001</v>
      </c>
      <c r="X12" s="48">
        <v>49493967.280000001</v>
      </c>
      <c r="Y12" s="53">
        <v>48781949.390000001</v>
      </c>
      <c r="Z12" s="43">
        <f t="shared" si="6"/>
        <v>14665709.779999999</v>
      </c>
      <c r="AA12" s="49">
        <f t="shared" si="7"/>
        <v>7515878.4399999995</v>
      </c>
      <c r="AB12" s="47">
        <v>510225.66</v>
      </c>
      <c r="AC12" s="47">
        <v>510225.66</v>
      </c>
      <c r="AF12" s="48">
        <v>7149831.3399999999</v>
      </c>
      <c r="AG12" s="47">
        <f t="shared" si="8"/>
        <v>7515878.4399999995</v>
      </c>
      <c r="AH12" s="48">
        <v>3764178.82</v>
      </c>
      <c r="AI12" s="48">
        <v>3751698.82</v>
      </c>
    </row>
    <row r="13" spans="2:35" s="48" customFormat="1" ht="14.25">
      <c r="B13" s="35"/>
      <c r="C13" s="36"/>
      <c r="D13" s="37" t="s">
        <v>39</v>
      </c>
      <c r="E13" s="38" t="s">
        <v>40</v>
      </c>
      <c r="F13" s="37" t="s">
        <v>39</v>
      </c>
      <c r="G13" s="50" t="s">
        <v>37</v>
      </c>
      <c r="H13" s="51">
        <v>2272862.88</v>
      </c>
      <c r="I13" s="41">
        <f>2732321.67-24455.94</f>
        <v>2707865.73</v>
      </c>
      <c r="J13" s="45">
        <f t="shared" si="0"/>
        <v>4980728.6099999994</v>
      </c>
      <c r="K13" s="43">
        <v>2162029.59</v>
      </c>
      <c r="L13" s="52">
        <v>1914237.94</v>
      </c>
      <c r="M13" s="43">
        <v>1914237.94</v>
      </c>
      <c r="N13" s="55">
        <v>1877643.52</v>
      </c>
      <c r="O13" s="45">
        <f t="shared" si="1"/>
        <v>3066490.6699999995</v>
      </c>
      <c r="P13" s="46">
        <f t="shared" si="2"/>
        <v>0.84221444102250465</v>
      </c>
      <c r="Q13" s="46">
        <f t="shared" si="3"/>
        <v>0.38432889841793655</v>
      </c>
      <c r="R13" s="47"/>
      <c r="S13" s="48">
        <v>50869364.890000001</v>
      </c>
      <c r="T13" s="48">
        <v>48455407.359999999</v>
      </c>
      <c r="U13" s="47">
        <f t="shared" si="4"/>
        <v>3791881.46</v>
      </c>
      <c r="V13" s="47">
        <f t="shared" si="5"/>
        <v>3791881.46</v>
      </c>
      <c r="W13" s="48">
        <v>50700438.890000001</v>
      </c>
      <c r="X13" s="48">
        <v>50700438.890000001</v>
      </c>
      <c r="Y13" s="53">
        <v>50700438.890000001</v>
      </c>
      <c r="Z13" s="43">
        <f t="shared" si="6"/>
        <v>5953911.0499999998</v>
      </c>
      <c r="AA13" s="49">
        <f t="shared" si="7"/>
        <v>3791881.46</v>
      </c>
      <c r="AB13" s="47">
        <v>591074.37</v>
      </c>
      <c r="AC13" s="47">
        <v>591074.37</v>
      </c>
      <c r="AF13" s="48">
        <v>2162029.59</v>
      </c>
      <c r="AG13" s="47">
        <f t="shared" si="8"/>
        <v>3791881.46</v>
      </c>
      <c r="AH13" s="48">
        <v>1914237.94</v>
      </c>
      <c r="AI13" s="48">
        <v>1877643.52</v>
      </c>
    </row>
    <row r="14" spans="2:35" s="48" customFormat="1" ht="14.25">
      <c r="B14" s="35"/>
      <c r="C14" s="36"/>
      <c r="D14" s="37" t="s">
        <v>41</v>
      </c>
      <c r="E14" s="38" t="s">
        <v>42</v>
      </c>
      <c r="F14" s="37" t="s">
        <v>41</v>
      </c>
      <c r="G14" s="50" t="s">
        <v>43</v>
      </c>
      <c r="H14" s="51">
        <v>36901470.229999997</v>
      </c>
      <c r="I14" s="41">
        <f>40514993.94-1977466.27</f>
        <v>38537527.669999994</v>
      </c>
      <c r="J14" s="45">
        <f t="shared" si="0"/>
        <v>75438997.899999991</v>
      </c>
      <c r="K14" s="43">
        <v>37614916.869999997</v>
      </c>
      <c r="L14" s="52">
        <v>33702257.840000004</v>
      </c>
      <c r="M14" s="43">
        <v>33702257.840000004</v>
      </c>
      <c r="N14" s="52">
        <v>33511709.73</v>
      </c>
      <c r="O14" s="45">
        <f t="shared" si="1"/>
        <v>41736740.059999987</v>
      </c>
      <c r="P14" s="46">
        <f t="shared" si="2"/>
        <v>0.91330393152197198</v>
      </c>
      <c r="Q14" s="46">
        <f t="shared" si="3"/>
        <v>0.44674848259085914</v>
      </c>
      <c r="R14" s="47"/>
      <c r="S14" s="48">
        <v>4223432.99</v>
      </c>
      <c r="T14" s="48">
        <v>3451882.82</v>
      </c>
      <c r="U14" s="47">
        <f t="shared" si="4"/>
        <v>67213967.570000008</v>
      </c>
      <c r="V14" s="47">
        <f t="shared" si="5"/>
        <v>67213967.570000008</v>
      </c>
      <c r="W14" s="48">
        <v>3943868.57</v>
      </c>
      <c r="X14" s="48">
        <v>3943868.57</v>
      </c>
      <c r="Y14" s="53">
        <v>3895757.11</v>
      </c>
      <c r="Z14" s="43">
        <f t="shared" si="6"/>
        <v>104828884.44000001</v>
      </c>
      <c r="AA14" s="49">
        <f t="shared" si="7"/>
        <v>67213967.570000008</v>
      </c>
      <c r="AB14" s="47">
        <v>9578478.1099999994</v>
      </c>
      <c r="AC14" s="47">
        <v>9578478.1099999994</v>
      </c>
      <c r="AF14" s="48">
        <v>37614916.869999997</v>
      </c>
      <c r="AG14" s="47">
        <f t="shared" si="8"/>
        <v>67213967.570000008</v>
      </c>
      <c r="AH14" s="48">
        <v>33702257.840000004</v>
      </c>
      <c r="AI14" s="48">
        <v>33511709.73</v>
      </c>
    </row>
    <row r="15" spans="2:35" s="48" customFormat="1" ht="14.25">
      <c r="B15" s="35"/>
      <c r="C15" s="36"/>
      <c r="D15" s="37" t="s">
        <v>44</v>
      </c>
      <c r="E15" s="38" t="s">
        <v>45</v>
      </c>
      <c r="F15" s="37" t="s">
        <v>44</v>
      </c>
      <c r="G15" s="50" t="s">
        <v>43</v>
      </c>
      <c r="H15" s="51">
        <v>570268.31000000006</v>
      </c>
      <c r="I15" s="41">
        <f>543553.45-1000</f>
        <v>542553.44999999995</v>
      </c>
      <c r="J15" s="45">
        <f t="shared" si="0"/>
        <v>1112821.76</v>
      </c>
      <c r="K15" s="43">
        <v>660268.67000000004</v>
      </c>
      <c r="L15" s="52">
        <v>569768.43999999994</v>
      </c>
      <c r="M15" s="43">
        <v>569768.43999999994</v>
      </c>
      <c r="N15" s="52">
        <v>568848.09</v>
      </c>
      <c r="O15" s="45">
        <f t="shared" si="1"/>
        <v>543053.32000000007</v>
      </c>
      <c r="P15" s="46">
        <f t="shared" si="2"/>
        <v>0.9991234476978037</v>
      </c>
      <c r="Q15" s="46">
        <f t="shared" si="3"/>
        <v>0.51200332387461578</v>
      </c>
      <c r="R15" s="47"/>
      <c r="S15" s="48">
        <v>1227953.79</v>
      </c>
      <c r="T15" s="48">
        <v>918803.95</v>
      </c>
      <c r="U15" s="47">
        <f t="shared" si="4"/>
        <v>1138616.5299999998</v>
      </c>
      <c r="V15" s="47">
        <f t="shared" si="5"/>
        <v>1138616.5299999998</v>
      </c>
      <c r="W15" s="48">
        <v>1214596.18</v>
      </c>
      <c r="X15" s="48">
        <v>1214596.18</v>
      </c>
      <c r="Y15" s="53">
        <v>1214041.47</v>
      </c>
      <c r="Z15" s="43">
        <f t="shared" si="6"/>
        <v>1798885.1999999997</v>
      </c>
      <c r="AA15" s="49">
        <f t="shared" si="7"/>
        <v>1138616.5299999998</v>
      </c>
      <c r="AB15" s="47">
        <v>187187.11</v>
      </c>
      <c r="AC15" s="47">
        <v>187187.11</v>
      </c>
      <c r="AF15" s="48">
        <v>660268.67000000004</v>
      </c>
      <c r="AG15" s="47">
        <f t="shared" si="8"/>
        <v>1138616.5299999998</v>
      </c>
      <c r="AH15" s="48">
        <v>569768.43999999994</v>
      </c>
      <c r="AI15" s="48">
        <v>568848.09</v>
      </c>
    </row>
    <row r="16" spans="2:35" s="48" customFormat="1" ht="14.25">
      <c r="B16" s="35"/>
      <c r="C16" s="36"/>
      <c r="D16" s="37" t="s">
        <v>46</v>
      </c>
      <c r="E16" s="38" t="s">
        <v>47</v>
      </c>
      <c r="F16" s="37" t="s">
        <v>46</v>
      </c>
      <c r="G16" s="50" t="s">
        <v>43</v>
      </c>
      <c r="H16" s="51">
        <v>12618157.24</v>
      </c>
      <c r="I16" s="41">
        <f>12427374.13-0</f>
        <v>12427374.130000001</v>
      </c>
      <c r="J16" s="45">
        <f t="shared" si="0"/>
        <v>25045531.370000001</v>
      </c>
      <c r="K16" s="43">
        <v>12288089.539999999</v>
      </c>
      <c r="L16" s="52">
        <v>11103322.529999999</v>
      </c>
      <c r="M16" s="43">
        <v>11103322.529999999</v>
      </c>
      <c r="N16" s="52">
        <v>11081053.41</v>
      </c>
      <c r="O16" s="45">
        <f t="shared" si="1"/>
        <v>13942208.840000002</v>
      </c>
      <c r="P16" s="46">
        <f t="shared" si="2"/>
        <v>0.87994802401115102</v>
      </c>
      <c r="Q16" s="46">
        <f t="shared" si="3"/>
        <v>0.44332549251878772</v>
      </c>
      <c r="R16" s="47"/>
      <c r="U16" s="47">
        <f t="shared" si="4"/>
        <v>22184375.939999998</v>
      </c>
      <c r="V16" s="47">
        <f t="shared" si="5"/>
        <v>22184375.939999998</v>
      </c>
      <c r="Y16" s="53"/>
      <c r="Z16" s="43">
        <f t="shared" si="6"/>
        <v>34472465.480000004</v>
      </c>
      <c r="AA16" s="49">
        <f t="shared" si="7"/>
        <v>22184375.939999998</v>
      </c>
      <c r="AB16" s="47">
        <v>3329294.49</v>
      </c>
      <c r="AC16" s="47">
        <v>3329294.49</v>
      </c>
      <c r="AF16" s="48">
        <v>12288089.539999999</v>
      </c>
      <c r="AG16" s="47">
        <f t="shared" si="8"/>
        <v>22184375.939999998</v>
      </c>
      <c r="AH16" s="48">
        <v>11103322.529999999</v>
      </c>
      <c r="AI16" s="48">
        <v>11081053.41</v>
      </c>
    </row>
    <row r="17" spans="1:35" s="48" customFormat="1" ht="14.25">
      <c r="B17" s="35"/>
      <c r="C17" s="36"/>
      <c r="D17" s="37" t="s">
        <v>48</v>
      </c>
      <c r="E17" s="38" t="s">
        <v>49</v>
      </c>
      <c r="F17" s="37" t="s">
        <v>48</v>
      </c>
      <c r="G17" s="50" t="s">
        <v>43</v>
      </c>
      <c r="H17" s="51">
        <v>2868058.7</v>
      </c>
      <c r="I17" s="41">
        <f>1394130.46-89977.98</f>
        <v>1304152.48</v>
      </c>
      <c r="J17" s="45">
        <f t="shared" si="0"/>
        <v>4172211.18</v>
      </c>
      <c r="K17" s="43">
        <v>1369497.94</v>
      </c>
      <c r="L17" s="52">
        <v>1049414.3700000001</v>
      </c>
      <c r="M17" s="43">
        <v>1049414.3700000001</v>
      </c>
      <c r="N17" s="52">
        <v>1021839.18</v>
      </c>
      <c r="O17" s="45">
        <f t="shared" si="1"/>
        <v>3122796.81</v>
      </c>
      <c r="P17" s="46">
        <f t="shared" si="2"/>
        <v>0.36589710315203799</v>
      </c>
      <c r="Q17" s="46">
        <f t="shared" si="3"/>
        <v>0.25152474904206551</v>
      </c>
      <c r="R17" s="47"/>
      <c r="S17" s="48">
        <v>2086004.27</v>
      </c>
      <c r="T17" s="48">
        <v>1929412.26</v>
      </c>
      <c r="U17" s="47">
        <f t="shared" si="4"/>
        <v>2071253.5500000003</v>
      </c>
      <c r="V17" s="47">
        <f t="shared" si="5"/>
        <v>2071253.5500000003</v>
      </c>
      <c r="W17" s="48">
        <v>1702789.79</v>
      </c>
      <c r="X17" s="48">
        <v>1702789.79</v>
      </c>
      <c r="Y17" s="53">
        <v>1693069.79</v>
      </c>
      <c r="Z17" s="43">
        <f t="shared" si="6"/>
        <v>3440751.49</v>
      </c>
      <c r="AA17" s="49">
        <f t="shared" si="7"/>
        <v>2071253.5500000003</v>
      </c>
      <c r="AB17" s="47">
        <v>187335.42</v>
      </c>
      <c r="AC17" s="47">
        <v>187335.42</v>
      </c>
      <c r="AF17" s="48">
        <v>1369497.94</v>
      </c>
      <c r="AG17" s="47">
        <f t="shared" si="8"/>
        <v>2071253.5500000003</v>
      </c>
      <c r="AH17" s="48">
        <v>1049414.3700000001</v>
      </c>
      <c r="AI17" s="48">
        <v>1021839.18</v>
      </c>
    </row>
    <row r="18" spans="1:35" s="48" customFormat="1" ht="14.25">
      <c r="B18" s="35"/>
      <c r="C18" s="36"/>
      <c r="D18" s="37" t="s">
        <v>50</v>
      </c>
      <c r="E18" s="38" t="s">
        <v>51</v>
      </c>
      <c r="F18" s="37" t="s">
        <v>50</v>
      </c>
      <c r="G18" s="50" t="s">
        <v>37</v>
      </c>
      <c r="H18" s="51">
        <v>2067914.03</v>
      </c>
      <c r="I18" s="41">
        <f>581881.79-352820</f>
        <v>229061.79000000004</v>
      </c>
      <c r="J18" s="45">
        <f t="shared" si="0"/>
        <v>2296975.8200000003</v>
      </c>
      <c r="K18" s="43">
        <v>944724.37</v>
      </c>
      <c r="L18" s="52">
        <v>487831.86</v>
      </c>
      <c r="M18" s="43">
        <v>487831.86</v>
      </c>
      <c r="N18" s="52">
        <v>486831.86</v>
      </c>
      <c r="O18" s="45">
        <f t="shared" si="1"/>
        <v>1809143.9600000004</v>
      </c>
      <c r="P18" s="46">
        <f t="shared" si="2"/>
        <v>0.23590529051152093</v>
      </c>
      <c r="Q18" s="46">
        <f t="shared" si="3"/>
        <v>0.21238005892460807</v>
      </c>
      <c r="R18" s="47"/>
      <c r="S18" s="48">
        <v>1338261.8700000001</v>
      </c>
      <c r="T18" s="48">
        <v>1332521.04</v>
      </c>
      <c r="U18" s="47">
        <f t="shared" si="4"/>
        <v>974663.72</v>
      </c>
      <c r="V18" s="47">
        <f t="shared" si="5"/>
        <v>974663.72</v>
      </c>
      <c r="W18" s="48">
        <v>1288268.69</v>
      </c>
      <c r="X18" s="48">
        <v>1288268.69</v>
      </c>
      <c r="Y18" s="53">
        <v>1213198.28</v>
      </c>
      <c r="Z18" s="43">
        <f t="shared" si="6"/>
        <v>1919388.0899999999</v>
      </c>
      <c r="AA18" s="49">
        <f t="shared" si="7"/>
        <v>974663.72</v>
      </c>
      <c r="AB18" s="47">
        <v>83015.33</v>
      </c>
      <c r="AC18" s="47">
        <v>83015.33</v>
      </c>
      <c r="AF18" s="48">
        <v>944724.37</v>
      </c>
      <c r="AG18" s="47">
        <f t="shared" si="8"/>
        <v>974663.72</v>
      </c>
      <c r="AH18" s="48">
        <v>487831.86</v>
      </c>
      <c r="AI18" s="48">
        <v>486831.86</v>
      </c>
    </row>
    <row r="19" spans="1:35" s="48" customFormat="1" ht="14.25">
      <c r="B19" s="35"/>
      <c r="C19" s="36"/>
      <c r="D19" s="37" t="s">
        <v>52</v>
      </c>
      <c r="E19" s="38" t="s">
        <v>53</v>
      </c>
      <c r="F19" s="37" t="s">
        <v>52</v>
      </c>
      <c r="G19" s="50" t="s">
        <v>34</v>
      </c>
      <c r="H19" s="51">
        <v>3763990.37</v>
      </c>
      <c r="I19" s="41">
        <f>1667388.18-374149.17</f>
        <v>1293239.01</v>
      </c>
      <c r="J19" s="45">
        <f t="shared" si="0"/>
        <v>5057229.38</v>
      </c>
      <c r="K19" s="43">
        <v>2242402.9300000002</v>
      </c>
      <c r="L19" s="52">
        <v>1252787.43</v>
      </c>
      <c r="M19" s="43">
        <v>1252787.43</v>
      </c>
      <c r="N19" s="52">
        <v>1093604.8999999999</v>
      </c>
      <c r="O19" s="45">
        <f t="shared" si="1"/>
        <v>3804441.95</v>
      </c>
      <c r="P19" s="46">
        <f t="shared" si="2"/>
        <v>0.33283491902238843</v>
      </c>
      <c r="Q19" s="46">
        <f t="shared" si="3"/>
        <v>0.24772208967907244</v>
      </c>
      <c r="R19" s="47"/>
      <c r="S19" s="48">
        <v>4882670.68</v>
      </c>
      <c r="T19" s="48">
        <v>4731971.3</v>
      </c>
      <c r="U19" s="47">
        <f t="shared" si="4"/>
        <v>2346392.33</v>
      </c>
      <c r="V19" s="47">
        <f t="shared" si="5"/>
        <v>2346392.33</v>
      </c>
      <c r="W19" s="48">
        <v>3957858.17</v>
      </c>
      <c r="X19" s="48">
        <v>3957858.17</v>
      </c>
      <c r="Y19" s="53">
        <v>3879266.77</v>
      </c>
      <c r="Z19" s="43">
        <f t="shared" si="6"/>
        <v>4588795.26</v>
      </c>
      <c r="AA19" s="49">
        <f t="shared" si="7"/>
        <v>2346392.33</v>
      </c>
      <c r="AB19" s="47">
        <v>220368.51</v>
      </c>
      <c r="AC19" s="47">
        <v>220368.51</v>
      </c>
      <c r="AF19" s="48">
        <v>2242402.9300000002</v>
      </c>
      <c r="AG19" s="47">
        <f t="shared" si="8"/>
        <v>2346392.33</v>
      </c>
      <c r="AH19" s="48">
        <v>1252787.43</v>
      </c>
      <c r="AI19" s="48">
        <v>1093604.8999999999</v>
      </c>
    </row>
    <row r="20" spans="1:35" s="48" customFormat="1" ht="14.25">
      <c r="B20" s="35"/>
      <c r="C20" s="36"/>
      <c r="D20" s="37" t="s">
        <v>54</v>
      </c>
      <c r="E20" s="38" t="s">
        <v>55</v>
      </c>
      <c r="F20" s="37" t="s">
        <v>54</v>
      </c>
      <c r="G20" s="50" t="s">
        <v>43</v>
      </c>
      <c r="H20" s="51">
        <v>78401.81</v>
      </c>
      <c r="I20" s="41">
        <v>65290.41</v>
      </c>
      <c r="J20" s="45">
        <f t="shared" si="0"/>
        <v>143692.22</v>
      </c>
      <c r="K20" s="43">
        <v>8130</v>
      </c>
      <c r="L20" s="52">
        <v>0</v>
      </c>
      <c r="M20" s="43">
        <v>0</v>
      </c>
      <c r="N20" s="52">
        <v>0</v>
      </c>
      <c r="O20" s="45">
        <f t="shared" si="1"/>
        <v>143692.22</v>
      </c>
      <c r="P20" s="46">
        <f t="shared" si="2"/>
        <v>0</v>
      </c>
      <c r="Q20" s="46">
        <f t="shared" si="3"/>
        <v>0</v>
      </c>
      <c r="R20" s="47"/>
      <c r="S20" s="48">
        <v>178876.59</v>
      </c>
      <c r="T20" s="48">
        <v>146043.04</v>
      </c>
      <c r="U20" s="47">
        <f t="shared" si="4"/>
        <v>0</v>
      </c>
      <c r="V20" s="47">
        <f t="shared" si="5"/>
        <v>0</v>
      </c>
      <c r="W20" s="48">
        <v>176350.09</v>
      </c>
      <c r="X20" s="48">
        <v>176350.09</v>
      </c>
      <c r="Y20" s="53">
        <v>176350.09</v>
      </c>
      <c r="Z20" s="43">
        <f t="shared" si="6"/>
        <v>8130</v>
      </c>
      <c r="AA20" s="49">
        <f t="shared" si="7"/>
        <v>0</v>
      </c>
      <c r="AB20" s="47">
        <v>0</v>
      </c>
      <c r="AC20" s="47">
        <v>0</v>
      </c>
      <c r="AF20" s="48">
        <v>8130</v>
      </c>
      <c r="AG20" s="47">
        <f t="shared" si="8"/>
        <v>0</v>
      </c>
      <c r="AH20" s="48">
        <v>0</v>
      </c>
      <c r="AI20" s="48">
        <v>0</v>
      </c>
    </row>
    <row r="21" spans="1:35" s="48" customFormat="1" ht="14.25">
      <c r="B21" s="35"/>
      <c r="C21" s="36"/>
      <c r="D21" s="37" t="s">
        <v>56</v>
      </c>
      <c r="E21" s="38" t="s">
        <v>57</v>
      </c>
      <c r="F21" s="37" t="s">
        <v>56</v>
      </c>
      <c r="G21" s="38" t="s">
        <v>58</v>
      </c>
      <c r="H21" s="51">
        <v>5713969.7000000002</v>
      </c>
      <c r="I21" s="41">
        <f>2434544.75-363165.92</f>
        <v>2071378.83</v>
      </c>
      <c r="J21" s="45">
        <f t="shared" si="0"/>
        <v>7785348.5300000003</v>
      </c>
      <c r="K21" s="43">
        <v>2152388.41</v>
      </c>
      <c r="L21" s="52">
        <v>2000931.8800000001</v>
      </c>
      <c r="M21" s="43">
        <v>2000931.8800000001</v>
      </c>
      <c r="N21" s="52">
        <v>1983747.11</v>
      </c>
      <c r="O21" s="45">
        <f t="shared" si="1"/>
        <v>5784416.6500000004</v>
      </c>
      <c r="P21" s="46">
        <f t="shared" si="2"/>
        <v>0.35018244496466266</v>
      </c>
      <c r="Q21" s="46">
        <f t="shared" si="3"/>
        <v>0.25701249883542465</v>
      </c>
      <c r="R21" s="47"/>
      <c r="S21" s="48">
        <v>6440656.1500000004</v>
      </c>
      <c r="T21" s="48">
        <v>5544208.6699999999</v>
      </c>
      <c r="U21" s="47">
        <f t="shared" si="4"/>
        <v>3984678.99</v>
      </c>
      <c r="V21" s="47">
        <f t="shared" si="5"/>
        <v>3984678.99</v>
      </c>
      <c r="W21" s="48">
        <v>5696035.3600000003</v>
      </c>
      <c r="X21" s="48">
        <v>5696035.3600000003</v>
      </c>
      <c r="Y21" s="53">
        <v>5591757.4900000002</v>
      </c>
      <c r="Z21" s="43">
        <f t="shared" si="6"/>
        <v>6137067.4000000004</v>
      </c>
      <c r="AA21" s="49">
        <f t="shared" si="7"/>
        <v>3984678.99</v>
      </c>
      <c r="AB21" s="47">
        <v>635096.01</v>
      </c>
      <c r="AC21" s="47">
        <v>635096.01</v>
      </c>
      <c r="AF21" s="48">
        <v>2152388.41</v>
      </c>
      <c r="AG21" s="47">
        <f t="shared" si="8"/>
        <v>3984678.99</v>
      </c>
      <c r="AH21" s="48">
        <v>2000931.8800000001</v>
      </c>
      <c r="AI21" s="48">
        <v>1983747.11</v>
      </c>
    </row>
    <row r="22" spans="1:35" s="48" customFormat="1" ht="14.25">
      <c r="B22" s="35"/>
      <c r="C22" s="36"/>
      <c r="D22" s="37" t="s">
        <v>59</v>
      </c>
      <c r="E22" s="38" t="s">
        <v>60</v>
      </c>
      <c r="F22" s="37" t="s">
        <v>59</v>
      </c>
      <c r="G22" s="38" t="s">
        <v>58</v>
      </c>
      <c r="H22" s="51">
        <v>243641.44</v>
      </c>
      <c r="I22" s="41">
        <f>273488.49-4200</f>
        <v>269288.49</v>
      </c>
      <c r="J22" s="45">
        <f t="shared" si="0"/>
        <v>512929.93</v>
      </c>
      <c r="K22" s="43">
        <v>218880.87</v>
      </c>
      <c r="L22" s="52">
        <v>206276.43000000002</v>
      </c>
      <c r="M22" s="43">
        <v>206276.43000000002</v>
      </c>
      <c r="N22" s="52">
        <v>198570.14</v>
      </c>
      <c r="O22" s="45">
        <f t="shared" si="1"/>
        <v>306653.5</v>
      </c>
      <c r="P22" s="46">
        <f t="shared" si="2"/>
        <v>0.84663934838014432</v>
      </c>
      <c r="Q22" s="46">
        <f t="shared" si="3"/>
        <v>0.40215323367852607</v>
      </c>
      <c r="R22" s="47"/>
      <c r="S22" s="48">
        <v>374800.96</v>
      </c>
      <c r="T22" s="48">
        <v>332744.23</v>
      </c>
      <c r="U22" s="47">
        <f t="shared" si="4"/>
        <v>404846.57000000007</v>
      </c>
      <c r="V22" s="47">
        <f t="shared" si="5"/>
        <v>404846.57000000007</v>
      </c>
      <c r="W22" s="48">
        <v>373358.68</v>
      </c>
      <c r="X22" s="48">
        <v>373358.68</v>
      </c>
      <c r="Y22" s="53">
        <v>367442.68</v>
      </c>
      <c r="Z22" s="43">
        <f t="shared" si="6"/>
        <v>623727.44000000006</v>
      </c>
      <c r="AA22" s="49">
        <f t="shared" si="7"/>
        <v>404846.57000000007</v>
      </c>
      <c r="AB22" s="47">
        <v>65236.94</v>
      </c>
      <c r="AC22" s="47">
        <v>65236.94</v>
      </c>
      <c r="AF22" s="48">
        <v>218880.87</v>
      </c>
      <c r="AG22" s="47">
        <f t="shared" si="8"/>
        <v>404846.57000000007</v>
      </c>
      <c r="AH22" s="48">
        <v>206276.43000000002</v>
      </c>
      <c r="AI22" s="48">
        <v>198570.14</v>
      </c>
    </row>
    <row r="23" spans="1:35" s="48" customFormat="1" ht="14.25">
      <c r="B23" s="35"/>
      <c r="C23" s="36"/>
      <c r="D23" s="37" t="s">
        <v>61</v>
      </c>
      <c r="E23" s="38" t="s">
        <v>62</v>
      </c>
      <c r="F23" s="37" t="s">
        <v>61</v>
      </c>
      <c r="G23" s="38" t="s">
        <v>34</v>
      </c>
      <c r="H23" s="51">
        <v>1315689.52</v>
      </c>
      <c r="I23" s="41">
        <f>1034626.36-4547</f>
        <v>1030079.36</v>
      </c>
      <c r="J23" s="45">
        <f t="shared" si="0"/>
        <v>2345768.88</v>
      </c>
      <c r="K23" s="43">
        <v>972340.26</v>
      </c>
      <c r="L23" s="52">
        <v>734329.42999999993</v>
      </c>
      <c r="M23" s="43">
        <v>734329.42999999993</v>
      </c>
      <c r="N23" s="52">
        <v>669743.19999999995</v>
      </c>
      <c r="O23" s="45">
        <f t="shared" si="1"/>
        <v>1611439.45</v>
      </c>
      <c r="P23" s="46">
        <f t="shared" si="2"/>
        <v>0.55813276524388511</v>
      </c>
      <c r="Q23" s="46">
        <f t="shared" si="3"/>
        <v>0.31304423733338982</v>
      </c>
      <c r="R23" s="47"/>
      <c r="U23" s="47">
        <f t="shared" si="4"/>
        <v>1404072.63</v>
      </c>
      <c r="V23" s="47">
        <f t="shared" si="5"/>
        <v>1404072.63</v>
      </c>
      <c r="Y23" s="53"/>
      <c r="Z23" s="43">
        <f t="shared" si="6"/>
        <v>2376412.8899999997</v>
      </c>
      <c r="AA23" s="49">
        <f t="shared" si="7"/>
        <v>1404072.63</v>
      </c>
      <c r="AB23" s="47">
        <v>155258.82</v>
      </c>
      <c r="AC23" s="47">
        <v>155258.82</v>
      </c>
      <c r="AF23" s="48">
        <v>972340.26</v>
      </c>
      <c r="AG23" s="47">
        <f t="shared" si="8"/>
        <v>1404072.63</v>
      </c>
      <c r="AH23" s="48">
        <v>734329.42999999993</v>
      </c>
      <c r="AI23" s="48">
        <v>669743.19999999995</v>
      </c>
    </row>
    <row r="24" spans="1:35" s="48" customFormat="1" ht="14.25">
      <c r="B24" s="35"/>
      <c r="C24" s="36"/>
      <c r="D24" s="37" t="s">
        <v>63</v>
      </c>
      <c r="E24" s="38" t="s">
        <v>64</v>
      </c>
      <c r="F24" s="37" t="s">
        <v>63</v>
      </c>
      <c r="G24" s="38" t="s">
        <v>65</v>
      </c>
      <c r="H24" s="51">
        <v>1501728.75</v>
      </c>
      <c r="I24" s="41">
        <f>1466638.41-62241.44</f>
        <v>1404396.97</v>
      </c>
      <c r="J24" s="45">
        <f t="shared" si="0"/>
        <v>2906125.7199999997</v>
      </c>
      <c r="K24" s="43">
        <v>1113185.83</v>
      </c>
      <c r="L24" s="52">
        <v>1059597.6600000001</v>
      </c>
      <c r="M24" s="43">
        <v>1059597.6600000001</v>
      </c>
      <c r="N24" s="52">
        <v>1052245.5900000001</v>
      </c>
      <c r="O24" s="45">
        <f t="shared" si="1"/>
        <v>1846528.0599999996</v>
      </c>
      <c r="P24" s="46">
        <f t="shared" si="2"/>
        <v>0.70558525299592234</v>
      </c>
      <c r="Q24" s="46">
        <f t="shared" si="3"/>
        <v>0.36460833497595563</v>
      </c>
      <c r="R24" s="47"/>
      <c r="U24" s="47">
        <f t="shared" si="4"/>
        <v>2111843.25</v>
      </c>
      <c r="V24" s="47">
        <f t="shared" si="5"/>
        <v>2111843.25</v>
      </c>
      <c r="Y24" s="53"/>
      <c r="Z24" s="43">
        <f t="shared" si="6"/>
        <v>3225029.08</v>
      </c>
      <c r="AA24" s="49">
        <f t="shared" si="7"/>
        <v>2111843.25</v>
      </c>
      <c r="AB24" s="47">
        <v>336878.69</v>
      </c>
      <c r="AC24" s="47">
        <v>336878.69</v>
      </c>
      <c r="AF24" s="48">
        <v>1113185.83</v>
      </c>
      <c r="AG24" s="47">
        <f t="shared" si="8"/>
        <v>2111843.25</v>
      </c>
      <c r="AH24" s="48">
        <v>1059597.6600000001</v>
      </c>
      <c r="AI24" s="48">
        <v>1052245.5900000001</v>
      </c>
    </row>
    <row r="25" spans="1:35" s="48" customFormat="1" ht="14.25">
      <c r="B25" s="35"/>
      <c r="C25" s="36"/>
      <c r="D25" s="37" t="s">
        <v>63</v>
      </c>
      <c r="E25" s="38" t="s">
        <v>66</v>
      </c>
      <c r="F25" s="37" t="s">
        <v>63</v>
      </c>
      <c r="G25" s="38" t="s">
        <v>67</v>
      </c>
      <c r="H25" s="51">
        <v>5870835.3600000003</v>
      </c>
      <c r="I25" s="41">
        <f>5984353.29-37989.66</f>
        <v>5946363.6299999999</v>
      </c>
      <c r="J25" s="45">
        <f t="shared" si="0"/>
        <v>11817198.99</v>
      </c>
      <c r="K25" s="43">
        <v>6095993.2699999996</v>
      </c>
      <c r="L25" s="52">
        <v>5471920.3800000008</v>
      </c>
      <c r="M25" s="43">
        <v>5471920.3800000008</v>
      </c>
      <c r="N25" s="52">
        <v>5433073.4400000004</v>
      </c>
      <c r="O25" s="45">
        <f t="shared" si="1"/>
        <v>6345278.6099999994</v>
      </c>
      <c r="P25" s="46">
        <f t="shared" si="2"/>
        <v>0.93205141082341658</v>
      </c>
      <c r="Q25" s="46">
        <f t="shared" si="3"/>
        <v>0.46304715564411436</v>
      </c>
      <c r="R25" s="47"/>
      <c r="U25" s="47">
        <f t="shared" si="4"/>
        <v>10904993.82</v>
      </c>
      <c r="V25" s="47">
        <f t="shared" si="5"/>
        <v>10904993.82</v>
      </c>
      <c r="Y25" s="53"/>
      <c r="Z25" s="43">
        <f t="shared" si="6"/>
        <v>17000987.09</v>
      </c>
      <c r="AA25" s="49">
        <f t="shared" si="7"/>
        <v>10904993.82</v>
      </c>
      <c r="AB25" s="47">
        <v>1530148.12</v>
      </c>
      <c r="AC25" s="47">
        <v>1530148.12</v>
      </c>
      <c r="AF25" s="48">
        <v>6095993.2699999996</v>
      </c>
      <c r="AG25" s="47">
        <f t="shared" si="8"/>
        <v>10904993.82</v>
      </c>
      <c r="AH25" s="48">
        <v>5471920.3800000008</v>
      </c>
      <c r="AI25" s="48">
        <v>5433073.4400000004</v>
      </c>
    </row>
    <row r="26" spans="1:35" s="48" customFormat="1" ht="14.25">
      <c r="B26" s="35"/>
      <c r="C26" s="36"/>
      <c r="D26" s="37" t="s">
        <v>68</v>
      </c>
      <c r="E26" s="38" t="s">
        <v>69</v>
      </c>
      <c r="F26" s="37" t="s">
        <v>68</v>
      </c>
      <c r="G26" s="38" t="s">
        <v>58</v>
      </c>
      <c r="H26" s="51">
        <v>3238445.75</v>
      </c>
      <c r="I26" s="41">
        <f>1771957.01-199906.96</f>
        <v>1572050.05</v>
      </c>
      <c r="J26" s="45">
        <f t="shared" si="0"/>
        <v>4810495.8</v>
      </c>
      <c r="K26" s="43">
        <v>1635112.89</v>
      </c>
      <c r="L26" s="52">
        <v>1349621.92</v>
      </c>
      <c r="M26" s="43">
        <v>1349621.92</v>
      </c>
      <c r="N26" s="52">
        <v>1325009.99</v>
      </c>
      <c r="O26" s="45">
        <f t="shared" si="1"/>
        <v>3460873.88</v>
      </c>
      <c r="P26" s="46">
        <f t="shared" si="2"/>
        <v>0.41674989306212706</v>
      </c>
      <c r="Q26" s="46">
        <f t="shared" si="3"/>
        <v>0.28055775872416311</v>
      </c>
      <c r="R26" s="47"/>
      <c r="U26" s="47">
        <f t="shared" si="4"/>
        <v>2674631.91</v>
      </c>
      <c r="V26" s="47">
        <f t="shared" si="5"/>
        <v>2674631.91</v>
      </c>
      <c r="Y26" s="53"/>
      <c r="Z26" s="43">
        <f t="shared" si="6"/>
        <v>4309744.8</v>
      </c>
      <c r="AA26" s="49">
        <f t="shared" si="7"/>
        <v>2674631.91</v>
      </c>
      <c r="AB26" s="47">
        <v>373926.29</v>
      </c>
      <c r="AC26" s="47">
        <v>373926.29</v>
      </c>
      <c r="AF26" s="48">
        <v>1635112.89</v>
      </c>
      <c r="AG26" s="47">
        <f t="shared" si="8"/>
        <v>2674631.91</v>
      </c>
      <c r="AH26" s="48">
        <v>1349621.92</v>
      </c>
      <c r="AI26" s="48">
        <v>1325009.99</v>
      </c>
    </row>
    <row r="27" spans="1:35" s="48" customFormat="1" ht="14.25">
      <c r="B27" s="35"/>
      <c r="C27" s="36"/>
      <c r="D27" s="37" t="s">
        <v>70</v>
      </c>
      <c r="E27" s="38" t="s">
        <v>71</v>
      </c>
      <c r="F27" s="37" t="s">
        <v>70</v>
      </c>
      <c r="G27" s="38" t="s">
        <v>37</v>
      </c>
      <c r="H27" s="51">
        <v>0</v>
      </c>
      <c r="I27" s="41">
        <f>14371329.62-179700</f>
        <v>14191629.619999999</v>
      </c>
      <c r="J27" s="45">
        <f t="shared" si="0"/>
        <v>14191629.619999999</v>
      </c>
      <c r="K27" s="43">
        <v>3176361.11</v>
      </c>
      <c r="L27" s="52">
        <v>0</v>
      </c>
      <c r="M27" s="43">
        <v>0</v>
      </c>
      <c r="N27" s="52">
        <v>0</v>
      </c>
      <c r="O27" s="45">
        <f t="shared" si="1"/>
        <v>14191629.619999999</v>
      </c>
      <c r="P27" s="46">
        <v>0</v>
      </c>
      <c r="Q27" s="46">
        <f>+L27/J27</f>
        <v>0</v>
      </c>
      <c r="R27" s="47"/>
      <c r="S27" s="48">
        <v>14033832.65</v>
      </c>
      <c r="T27" s="48">
        <v>11547442.449999999</v>
      </c>
      <c r="U27" s="47">
        <f t="shared" si="4"/>
        <v>0</v>
      </c>
      <c r="V27" s="47">
        <f t="shared" si="5"/>
        <v>0</v>
      </c>
      <c r="W27" s="48">
        <v>0</v>
      </c>
      <c r="X27" s="48">
        <v>0</v>
      </c>
      <c r="Y27" s="53">
        <v>0</v>
      </c>
      <c r="Z27" s="43">
        <f t="shared" si="6"/>
        <v>3176361.11</v>
      </c>
      <c r="AA27" s="49">
        <f t="shared" si="7"/>
        <v>0</v>
      </c>
      <c r="AB27" s="47">
        <v>0</v>
      </c>
      <c r="AC27" s="47">
        <v>0</v>
      </c>
      <c r="AF27" s="48">
        <v>3176361.11</v>
      </c>
      <c r="AG27" s="47">
        <f t="shared" si="8"/>
        <v>0</v>
      </c>
      <c r="AH27" s="48">
        <v>0</v>
      </c>
      <c r="AI27" s="48">
        <v>0</v>
      </c>
    </row>
    <row r="28" spans="1:35" s="48" customFormat="1" ht="14.25">
      <c r="B28" s="35"/>
      <c r="C28" s="36"/>
      <c r="D28" s="37" t="s">
        <v>41</v>
      </c>
      <c r="E28" s="38" t="s">
        <v>72</v>
      </c>
      <c r="F28" s="37" t="s">
        <v>41</v>
      </c>
      <c r="G28" s="38" t="s">
        <v>43</v>
      </c>
      <c r="H28" s="51">
        <v>0</v>
      </c>
      <c r="I28" s="41">
        <v>2848000</v>
      </c>
      <c r="J28" s="45">
        <f t="shared" si="0"/>
        <v>2848000</v>
      </c>
      <c r="K28" s="43">
        <v>1589371.03</v>
      </c>
      <c r="L28" s="52">
        <v>29829.26</v>
      </c>
      <c r="M28" s="43">
        <v>29829.26</v>
      </c>
      <c r="N28" s="52">
        <v>29829.26</v>
      </c>
      <c r="O28" s="45">
        <f t="shared" si="1"/>
        <v>2818170.74</v>
      </c>
      <c r="P28" s="46">
        <v>0</v>
      </c>
      <c r="Q28" s="46">
        <f>+L28/J28</f>
        <v>1.047375702247191E-2</v>
      </c>
      <c r="R28" s="47"/>
      <c r="U28" s="47">
        <f t="shared" si="4"/>
        <v>59658.52</v>
      </c>
      <c r="V28" s="47">
        <f t="shared" si="5"/>
        <v>59658.52</v>
      </c>
      <c r="Y28" s="53"/>
      <c r="Z28" s="43">
        <f t="shared" si="6"/>
        <v>1649029.55</v>
      </c>
      <c r="AA28" s="49">
        <f t="shared" si="7"/>
        <v>59658.52</v>
      </c>
      <c r="AB28" s="47"/>
      <c r="AC28" s="47"/>
      <c r="AF28" s="48">
        <v>1589371.03</v>
      </c>
      <c r="AG28" s="47">
        <f t="shared" si="8"/>
        <v>59658.52</v>
      </c>
      <c r="AH28" s="48">
        <v>29829.26</v>
      </c>
      <c r="AI28" s="48">
        <v>29829.26</v>
      </c>
    </row>
    <row r="29" spans="1:35" s="48" customFormat="1" ht="14.25">
      <c r="B29" s="35"/>
      <c r="C29" s="36"/>
      <c r="D29" s="37" t="s">
        <v>41</v>
      </c>
      <c r="E29" s="38" t="s">
        <v>73</v>
      </c>
      <c r="F29" s="37" t="s">
        <v>41</v>
      </c>
      <c r="G29" s="38" t="s">
        <v>43</v>
      </c>
      <c r="H29" s="51">
        <v>0</v>
      </c>
      <c r="I29" s="41">
        <v>75000</v>
      </c>
      <c r="J29" s="45">
        <f t="shared" si="0"/>
        <v>75000</v>
      </c>
      <c r="K29" s="43">
        <v>75000</v>
      </c>
      <c r="L29" s="52">
        <v>0</v>
      </c>
      <c r="M29" s="43">
        <v>0</v>
      </c>
      <c r="N29" s="52">
        <v>0</v>
      </c>
      <c r="O29" s="45">
        <f t="shared" si="1"/>
        <v>75000</v>
      </c>
      <c r="P29" s="46">
        <v>0</v>
      </c>
      <c r="Q29" s="46">
        <f>+L29/J29</f>
        <v>0</v>
      </c>
      <c r="R29" s="47"/>
      <c r="U29" s="47">
        <f t="shared" si="4"/>
        <v>0</v>
      </c>
      <c r="V29" s="47">
        <f t="shared" si="5"/>
        <v>0</v>
      </c>
      <c r="Y29" s="53"/>
      <c r="Z29" s="43">
        <f t="shared" si="6"/>
        <v>75000</v>
      </c>
      <c r="AA29" s="49">
        <f t="shared" si="7"/>
        <v>0</v>
      </c>
      <c r="AB29" s="47"/>
      <c r="AC29" s="47"/>
      <c r="AF29" s="48">
        <v>75000</v>
      </c>
      <c r="AG29" s="47">
        <f t="shared" si="8"/>
        <v>0</v>
      </c>
      <c r="AH29" s="48">
        <v>0</v>
      </c>
      <c r="AI29" s="48">
        <v>0</v>
      </c>
    </row>
    <row r="30" spans="1:35" s="48" customFormat="1" ht="14.25">
      <c r="B30" s="35"/>
      <c r="C30" s="36"/>
      <c r="D30" s="37" t="s">
        <v>50</v>
      </c>
      <c r="E30" s="38" t="s">
        <v>74</v>
      </c>
      <c r="F30" s="37" t="s">
        <v>50</v>
      </c>
      <c r="G30" s="38" t="s">
        <v>37</v>
      </c>
      <c r="H30" s="51">
        <v>0</v>
      </c>
      <c r="I30" s="41">
        <v>914875.75</v>
      </c>
      <c r="J30" s="45">
        <f t="shared" si="0"/>
        <v>914875.75</v>
      </c>
      <c r="K30" s="43">
        <v>914875.75</v>
      </c>
      <c r="L30" s="52">
        <v>385200</v>
      </c>
      <c r="M30" s="43">
        <v>385200</v>
      </c>
      <c r="N30" s="52">
        <v>385200</v>
      </c>
      <c r="O30" s="45">
        <f t="shared" si="1"/>
        <v>529675.75</v>
      </c>
      <c r="P30" s="46">
        <v>0</v>
      </c>
      <c r="Q30" s="46">
        <f>+L30/J30</f>
        <v>0.42104078067431561</v>
      </c>
      <c r="R30" s="47"/>
      <c r="U30" s="47">
        <f t="shared" si="4"/>
        <v>770400</v>
      </c>
      <c r="V30" s="47">
        <f t="shared" si="5"/>
        <v>770400</v>
      </c>
      <c r="Y30" s="53"/>
      <c r="Z30" s="43">
        <f t="shared" si="6"/>
        <v>1685275.75</v>
      </c>
      <c r="AA30" s="49">
        <f t="shared" si="7"/>
        <v>770400</v>
      </c>
      <c r="AB30" s="47"/>
      <c r="AC30" s="47"/>
      <c r="AF30" s="48">
        <v>914875.75</v>
      </c>
      <c r="AG30" s="47">
        <f t="shared" si="8"/>
        <v>770400</v>
      </c>
      <c r="AH30" s="48">
        <v>385200</v>
      </c>
      <c r="AI30" s="48">
        <v>385200</v>
      </c>
    </row>
    <row r="31" spans="1:35" ht="14.25">
      <c r="B31" s="56"/>
      <c r="C31" s="57"/>
      <c r="D31" s="58"/>
      <c r="E31" s="59"/>
      <c r="F31" s="58"/>
      <c r="G31" s="59"/>
      <c r="H31" s="60"/>
      <c r="I31" s="61"/>
      <c r="J31" s="62"/>
      <c r="K31"/>
      <c r="L31" s="63"/>
      <c r="M31"/>
      <c r="N31" s="63"/>
      <c r="O31" s="64"/>
      <c r="P31" s="65"/>
      <c r="Q31" s="66"/>
      <c r="Y31" s="67"/>
      <c r="Z31" s="43">
        <f t="shared" si="6"/>
        <v>0</v>
      </c>
      <c r="AA31" s="49">
        <f t="shared" si="7"/>
        <v>0</v>
      </c>
      <c r="AB31" s="68">
        <v>0</v>
      </c>
      <c r="AC31" s="68"/>
    </row>
    <row r="32" spans="1:35" s="79" customFormat="1">
      <c r="A32" s="69"/>
      <c r="B32" s="70"/>
      <c r="C32" s="71" t="s">
        <v>75</v>
      </c>
      <c r="D32" s="72"/>
      <c r="E32" s="73"/>
      <c r="F32" s="73"/>
      <c r="G32" s="73"/>
      <c r="H32" s="74">
        <f>+SUM(H10:H30)</f>
        <v>128963136.7</v>
      </c>
      <c r="I32" s="74">
        <f t="shared" ref="I32:O32" si="9">+SUM(I10:I30)</f>
        <v>102169941.42999999</v>
      </c>
      <c r="J32" s="74">
        <f t="shared" si="9"/>
        <v>231133078.13000003</v>
      </c>
      <c r="K32" s="74">
        <f t="shared" si="9"/>
        <v>106200054.58</v>
      </c>
      <c r="L32" s="74">
        <f t="shared" si="9"/>
        <v>74940785.439999998</v>
      </c>
      <c r="M32" s="74">
        <f t="shared" si="9"/>
        <v>74940784.640000001</v>
      </c>
      <c r="N32" s="74">
        <f t="shared" si="9"/>
        <v>73358870.49000001</v>
      </c>
      <c r="O32" s="74">
        <f t="shared" si="9"/>
        <v>156192292.69</v>
      </c>
      <c r="P32" s="75"/>
      <c r="Q32" s="76"/>
      <c r="R32" s="77">
        <f>+N32+L32</f>
        <v>148299655.93000001</v>
      </c>
      <c r="S32" s="77">
        <f>+SUM(S10:S31)</f>
        <v>178892470.98000002</v>
      </c>
      <c r="T32" s="78">
        <f t="shared" ref="T32:V32" si="10">+T10+T11+T12+T13+T14+T15+T17+T18+T19+T20+T21+T22+T27</f>
        <v>160918021.96999994</v>
      </c>
      <c r="U32" s="78">
        <f t="shared" si="10"/>
        <v>108189679.86</v>
      </c>
      <c r="V32" s="78">
        <f t="shared" si="10"/>
        <v>108189679.86</v>
      </c>
      <c r="W32" s="77">
        <f>+SUM(W10:W31)</f>
        <v>152543416.15000001</v>
      </c>
      <c r="X32" s="77">
        <f>+SUM(X10:X31)</f>
        <v>152543416.15000001</v>
      </c>
      <c r="Y32" s="77">
        <f>+SUM(Y10:Y31)</f>
        <v>151283506.40000004</v>
      </c>
      <c r="Z32" s="74">
        <f t="shared" ref="Z32:AC32" si="11">+SUM(Z10:Z27)</f>
        <v>251090405.21000004</v>
      </c>
      <c r="AA32" s="78">
        <f t="shared" si="11"/>
        <v>147469597.41</v>
      </c>
      <c r="AB32" s="74">
        <f t="shared" si="11"/>
        <v>20354208.110000003</v>
      </c>
      <c r="AC32" s="74">
        <f t="shared" si="11"/>
        <v>19994047.010000005</v>
      </c>
      <c r="AD32" s="77"/>
      <c r="AF32" s="74">
        <f t="shared" ref="AF32:AH32" si="12">+SUM(AF10:AF30)</f>
        <v>106200054.58</v>
      </c>
      <c r="AG32" s="74">
        <f t="shared" si="12"/>
        <v>148299655.93000001</v>
      </c>
      <c r="AH32" s="74">
        <f t="shared" si="12"/>
        <v>74940784.640000001</v>
      </c>
    </row>
    <row r="33" spans="2:15" ht="14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80"/>
      <c r="O33" s="2"/>
    </row>
    <row r="34" spans="2:15" ht="14.25">
      <c r="B34" s="81" t="s">
        <v>76</v>
      </c>
      <c r="G34" s="2"/>
      <c r="H34" s="2"/>
      <c r="I34" s="2"/>
      <c r="J34" s="2"/>
      <c r="K34" s="2"/>
      <c r="L34" s="80"/>
      <c r="M34" s="2"/>
      <c r="N34" s="80"/>
      <c r="O34" s="2"/>
    </row>
    <row r="35" spans="2:15" ht="14.25">
      <c r="H35" s="68"/>
      <c r="N35" s="68"/>
    </row>
    <row r="36" spans="2:15" ht="14.25">
      <c r="H36" s="68"/>
    </row>
    <row r="37" spans="2:15" ht="14.25">
      <c r="D37" s="82"/>
    </row>
    <row r="38" spans="2:15" ht="14.25">
      <c r="D38" s="83" t="s">
        <v>77</v>
      </c>
      <c r="H38" s="84" t="s">
        <v>78</v>
      </c>
      <c r="I38" s="84"/>
      <c r="J38" s="84"/>
      <c r="K38" s="84"/>
      <c r="L38" s="84"/>
      <c r="M38" s="84"/>
      <c r="N38" s="84"/>
      <c r="O38" s="84"/>
    </row>
    <row r="39" spans="2:15" ht="14.25">
      <c r="D39" s="83" t="s">
        <v>79</v>
      </c>
      <c r="H39" s="85" t="s">
        <v>80</v>
      </c>
      <c r="I39" s="85"/>
      <c r="J39" s="85"/>
      <c r="K39" s="85"/>
      <c r="L39" s="85"/>
      <c r="M39" s="85"/>
      <c r="N39" s="85"/>
      <c r="O39" s="85"/>
    </row>
    <row r="41" spans="2:15" ht="14.25">
      <c r="H41" s="68"/>
    </row>
    <row r="42" spans="2:15" ht="14.25" hidden="1">
      <c r="G42" s="38"/>
      <c r="H42" s="68"/>
    </row>
    <row r="43" spans="2:15" ht="14.25" hidden="1">
      <c r="G43" s="38" t="s">
        <v>81</v>
      </c>
      <c r="H43" s="68">
        <f>+H10+H14+H17+H18</f>
        <v>80558149</v>
      </c>
      <c r="I43" s="68">
        <f t="shared" ref="I43:O43" si="13">+I10+I14+I17+I18</f>
        <v>48218817.859999992</v>
      </c>
      <c r="J43" s="68">
        <f t="shared" si="13"/>
        <v>128776966.85999998</v>
      </c>
      <c r="K43" s="68">
        <f t="shared" si="13"/>
        <v>63111534.089999996</v>
      </c>
      <c r="L43" s="68">
        <f t="shared" si="13"/>
        <v>44486739.710000001</v>
      </c>
      <c r="M43" s="68">
        <f t="shared" si="13"/>
        <v>44486739.710000001</v>
      </c>
      <c r="N43" s="68">
        <f t="shared" si="13"/>
        <v>43300400.649999999</v>
      </c>
      <c r="O43" s="68">
        <f t="shared" si="13"/>
        <v>84290227.149999991</v>
      </c>
    </row>
    <row r="44" spans="2:15" ht="14.25" hidden="1">
      <c r="G44" s="38" t="s">
        <v>42</v>
      </c>
    </row>
    <row r="45" spans="2:15" ht="14.25" hidden="1">
      <c r="G45" s="38" t="s">
        <v>45</v>
      </c>
      <c r="H45" s="68">
        <f>+H11</f>
        <v>1048188.56</v>
      </c>
      <c r="I45" s="68">
        <f t="shared" ref="I45:O45" si="14">+I11</f>
        <v>1042659.49</v>
      </c>
      <c r="J45" s="68">
        <f t="shared" si="14"/>
        <v>2090848.05</v>
      </c>
      <c r="K45" s="68">
        <f t="shared" si="14"/>
        <v>634259</v>
      </c>
      <c r="L45" s="68">
        <f t="shared" si="14"/>
        <v>612042.80999999994</v>
      </c>
      <c r="M45" s="68">
        <f t="shared" si="14"/>
        <v>612042.80999999994</v>
      </c>
      <c r="N45" s="68">
        <f t="shared" si="14"/>
        <v>608202.37</v>
      </c>
      <c r="O45" s="68">
        <f t="shared" si="14"/>
        <v>1478805.2400000002</v>
      </c>
    </row>
    <row r="46" spans="2:15" ht="14.25" hidden="1">
      <c r="G46" s="38" t="s">
        <v>82</v>
      </c>
      <c r="I46" s="68"/>
    </row>
    <row r="47" spans="2:15" ht="14.25" hidden="1">
      <c r="G47" s="38" t="s">
        <v>47</v>
      </c>
      <c r="H47" s="68">
        <f>+H12+H13+H15+H19+H20+H21+H22+H27</f>
        <v>22811942.52</v>
      </c>
      <c r="I47" s="68">
        <f t="shared" ref="I47:O47" si="15">+I12+I13+I15+I19+I20+I21+I22+I27</f>
        <v>26690324.189999998</v>
      </c>
      <c r="J47" s="68">
        <f t="shared" si="15"/>
        <v>49502266.709999993</v>
      </c>
      <c r="K47" s="68">
        <f t="shared" si="15"/>
        <v>17770292.919999998</v>
      </c>
      <c r="L47" s="68">
        <f t="shared" si="15"/>
        <v>9708181.7400000002</v>
      </c>
      <c r="M47" s="68">
        <f t="shared" si="15"/>
        <v>9708180.9399999995</v>
      </c>
      <c r="N47" s="68">
        <f t="shared" si="15"/>
        <v>9474112.5800000001</v>
      </c>
      <c r="O47" s="68">
        <f t="shared" si="15"/>
        <v>39794084.969999999</v>
      </c>
    </row>
    <row r="48" spans="2:15" ht="14.25" hidden="1">
      <c r="G48" s="38" t="s">
        <v>49</v>
      </c>
    </row>
    <row r="49" spans="7:15" ht="14.25" hidden="1">
      <c r="G49" s="38" t="s">
        <v>51</v>
      </c>
      <c r="H49" s="68">
        <f>+H43+H45+H47</f>
        <v>104418280.08</v>
      </c>
      <c r="I49" s="68">
        <f t="shared" ref="I49:O49" si="16">+I43+I45+I47</f>
        <v>75951801.539999992</v>
      </c>
      <c r="J49" s="68">
        <f t="shared" si="16"/>
        <v>180370081.61999997</v>
      </c>
      <c r="K49" s="68">
        <f t="shared" si="16"/>
        <v>81516086.00999999</v>
      </c>
      <c r="L49" s="68">
        <f t="shared" si="16"/>
        <v>54806964.260000005</v>
      </c>
      <c r="M49" s="68">
        <f t="shared" si="16"/>
        <v>54806963.460000001</v>
      </c>
      <c r="N49" s="68">
        <f t="shared" si="16"/>
        <v>53382715.599999994</v>
      </c>
      <c r="O49" s="68">
        <f t="shared" si="16"/>
        <v>125563117.35999998</v>
      </c>
    </row>
    <row r="50" spans="7:15" ht="14.25" hidden="1">
      <c r="G50" s="38" t="s">
        <v>53</v>
      </c>
    </row>
    <row r="51" spans="7:15" ht="14.25" hidden="1">
      <c r="G51" s="38" t="s">
        <v>55</v>
      </c>
    </row>
    <row r="52" spans="7:15" ht="14.25" hidden="1">
      <c r="G52" s="38" t="s">
        <v>57</v>
      </c>
    </row>
    <row r="53" spans="7:15" ht="14.25" hidden="1">
      <c r="G53" s="38" t="s">
        <v>60</v>
      </c>
      <c r="H53" s="68">
        <f>+H11</f>
        <v>1048188.56</v>
      </c>
      <c r="I53" s="68">
        <f t="shared" ref="I53:O53" si="17">+I11</f>
        <v>1042659.49</v>
      </c>
      <c r="J53" s="68">
        <f t="shared" si="17"/>
        <v>2090848.05</v>
      </c>
      <c r="K53" s="68">
        <f t="shared" si="17"/>
        <v>634259</v>
      </c>
      <c r="L53" s="68">
        <f t="shared" si="17"/>
        <v>612042.80999999994</v>
      </c>
      <c r="M53" s="68">
        <f t="shared" si="17"/>
        <v>612042.80999999994</v>
      </c>
      <c r="N53" s="68">
        <f t="shared" si="17"/>
        <v>608202.37</v>
      </c>
      <c r="O53" s="68">
        <f t="shared" si="17"/>
        <v>1478805.2400000002</v>
      </c>
    </row>
    <row r="54" spans="7:15" ht="14.25" hidden="1">
      <c r="G54" s="38" t="s">
        <v>71</v>
      </c>
    </row>
    <row r="55" spans="7:15" ht="14.25" hidden="1">
      <c r="H55" s="68">
        <f>+H14+H17+H18+H16+H24+H25</f>
        <v>61828164.310000002</v>
      </c>
      <c r="I55" s="68">
        <f t="shared" ref="I55:O55" si="18">+I10+I14+I17+I18+I16+I24+I25</f>
        <v>67996952.589999989</v>
      </c>
      <c r="J55" s="68">
        <f t="shared" si="18"/>
        <v>168545822.94</v>
      </c>
      <c r="K55" s="68">
        <f t="shared" si="18"/>
        <v>82608802.729999989</v>
      </c>
      <c r="L55" s="68">
        <f t="shared" si="18"/>
        <v>62121580.280000009</v>
      </c>
      <c r="M55" s="68">
        <f t="shared" si="18"/>
        <v>62121580.280000009</v>
      </c>
      <c r="N55" s="68">
        <f t="shared" si="18"/>
        <v>60866773.090000004</v>
      </c>
      <c r="O55" s="68">
        <f t="shared" si="18"/>
        <v>106424242.66</v>
      </c>
    </row>
    <row r="56" spans="7:15" ht="14.25" hidden="1"/>
    <row r="57" spans="7:15" ht="14.25" hidden="1">
      <c r="H57" s="68">
        <f>+H12+H13+H15+H19+H20+H21+H22+H27+H26+H23</f>
        <v>27366077.789999999</v>
      </c>
      <c r="I57" s="68">
        <f t="shared" ref="I57:O57" si="19">+I12+I13+I15+I19+I20+I21+I22+I27+I26+I23</f>
        <v>29292453.599999998</v>
      </c>
      <c r="J57" s="68">
        <f t="shared" si="19"/>
        <v>56658531.389999993</v>
      </c>
      <c r="K57" s="68">
        <f t="shared" si="19"/>
        <v>20377746.07</v>
      </c>
      <c r="L57" s="68">
        <f t="shared" si="19"/>
        <v>11792133.09</v>
      </c>
      <c r="M57" s="68">
        <f t="shared" si="19"/>
        <v>11792132.289999999</v>
      </c>
      <c r="N57" s="68">
        <f t="shared" si="19"/>
        <v>11468865.77</v>
      </c>
      <c r="O57" s="68">
        <f t="shared" si="19"/>
        <v>44866398.300000004</v>
      </c>
    </row>
    <row r="58" spans="7:15" ht="14.25" hidden="1"/>
    <row r="59" spans="7:15" ht="14.25" hidden="1">
      <c r="H59" s="68">
        <f>+H53+H55+H57</f>
        <v>90242430.659999996</v>
      </c>
      <c r="I59" s="68">
        <f t="shared" ref="I59:O59" si="20">+I53+I55+I57</f>
        <v>98332065.679999977</v>
      </c>
      <c r="J59" s="68">
        <f t="shared" si="20"/>
        <v>227295202.38</v>
      </c>
      <c r="K59" s="68">
        <f t="shared" si="20"/>
        <v>103620807.79999998</v>
      </c>
      <c r="L59" s="68">
        <f t="shared" si="20"/>
        <v>74525756.180000007</v>
      </c>
      <c r="M59" s="68">
        <f t="shared" si="20"/>
        <v>74525755.38000001</v>
      </c>
      <c r="N59" s="68">
        <f t="shared" si="20"/>
        <v>72943841.230000004</v>
      </c>
      <c r="O59" s="68">
        <f t="shared" si="20"/>
        <v>152769446.19999999</v>
      </c>
    </row>
    <row r="60" spans="7:15" ht="14.25" hidden="1">
      <c r="H60" s="68">
        <f>+H32-H59</f>
        <v>38720706.040000007</v>
      </c>
      <c r="I60" s="68">
        <f t="shared" ref="I60:O60" si="21">+I32-I59</f>
        <v>3837875.7500000149</v>
      </c>
      <c r="J60" s="68">
        <f t="shared" si="21"/>
        <v>3837875.7500000298</v>
      </c>
      <c r="K60" s="68">
        <f t="shared" si="21"/>
        <v>2579246.7800000161</v>
      </c>
      <c r="L60" s="68">
        <f t="shared" si="21"/>
        <v>415029.25999999046</v>
      </c>
      <c r="M60" s="68">
        <f t="shared" si="21"/>
        <v>415029.25999999046</v>
      </c>
      <c r="N60" s="68">
        <f t="shared" si="21"/>
        <v>415029.26000000536</v>
      </c>
      <c r="O60" s="68">
        <f t="shared" si="21"/>
        <v>3422846.4900000095</v>
      </c>
    </row>
    <row r="61" spans="7:15" ht="14.25" hidden="1"/>
    <row r="62" spans="7:15" ht="14.25" hidden="1">
      <c r="H62" s="3">
        <v>74413983.709999993</v>
      </c>
    </row>
    <row r="63" spans="7:15" ht="14.25" hidden="1">
      <c r="H63" s="68">
        <f>+H57-H62</f>
        <v>-47047905.919999994</v>
      </c>
    </row>
    <row r="64" spans="7:15" ht="14.25" hidden="1"/>
    <row r="65" spans="7:10" ht="14.25" hidden="1"/>
    <row r="66" spans="7:10" ht="14.25" hidden="1"/>
    <row r="67" spans="7:10" ht="14.25" hidden="1"/>
    <row r="68" spans="7:10" ht="14.25" hidden="1"/>
    <row r="69" spans="7:10" ht="14.25" hidden="1">
      <c r="G69" s="38"/>
    </row>
    <row r="70" spans="7:10" ht="14.25" hidden="1">
      <c r="G70" s="38"/>
      <c r="H70" s="45"/>
      <c r="I70" s="68"/>
      <c r="J70" s="68"/>
    </row>
    <row r="71" spans="7:10" ht="14.25" hidden="1">
      <c r="G71" s="38"/>
      <c r="H71" s="45"/>
      <c r="J71" s="68"/>
    </row>
    <row r="72" spans="7:10" ht="14.25" hidden="1">
      <c r="G72" s="38"/>
      <c r="H72" s="45"/>
      <c r="J72" s="68"/>
    </row>
    <row r="73" spans="7:10" ht="14.25" hidden="1">
      <c r="G73" s="38"/>
      <c r="H73" s="45"/>
    </row>
    <row r="74" spans="7:10" ht="14.25" hidden="1">
      <c r="G74" s="38"/>
      <c r="H74" s="45"/>
    </row>
    <row r="75" spans="7:10" ht="14.25" hidden="1">
      <c r="G75" s="38"/>
      <c r="H75" s="45"/>
    </row>
    <row r="76" spans="7:10" ht="14.25" hidden="1">
      <c r="G76" s="38"/>
      <c r="H76" s="45"/>
    </row>
    <row r="77" spans="7:10" ht="14.25" hidden="1">
      <c r="G77" s="38"/>
      <c r="H77" s="45"/>
    </row>
    <row r="78" spans="7:10" ht="14.25" hidden="1">
      <c r="G78" s="38"/>
      <c r="H78" s="45"/>
    </row>
    <row r="79" spans="7:10" ht="14.25" hidden="1">
      <c r="G79" s="38"/>
      <c r="H79" s="45"/>
    </row>
    <row r="80" spans="7:10" ht="14.25" hidden="1">
      <c r="G80" s="38"/>
      <c r="H80" s="45"/>
    </row>
    <row r="81" spans="7:15" ht="14.25" hidden="1">
      <c r="G81" s="38"/>
      <c r="H81" s="45"/>
    </row>
    <row r="82" spans="7:15" ht="14.25" hidden="1">
      <c r="G82" s="38"/>
      <c r="H82" s="45"/>
    </row>
    <row r="83" spans="7:15" ht="14.25" hidden="1"/>
    <row r="84" spans="7:15" ht="14.25" hidden="1"/>
    <row r="85" spans="7:15" ht="14.25" hidden="1"/>
    <row r="86" spans="7:15" ht="14.25" hidden="1"/>
    <row r="87" spans="7:15" ht="14.25" hidden="1"/>
    <row r="88" spans="7:15" ht="14.25" hidden="1"/>
    <row r="89" spans="7:15" ht="14.25" hidden="1">
      <c r="G89" s="68"/>
    </row>
    <row r="90" spans="7:15" ht="14.25" hidden="1">
      <c r="H90" s="68"/>
      <c r="I90" s="68"/>
      <c r="J90" s="68"/>
      <c r="K90" s="68"/>
      <c r="L90" s="68"/>
      <c r="M90" s="68"/>
      <c r="N90" s="68"/>
      <c r="O90" s="68"/>
    </row>
    <row r="91" spans="7:15" ht="14.25" hidden="1">
      <c r="H91" s="68">
        <f>+H13</f>
        <v>2272862.88</v>
      </c>
      <c r="I91" s="68">
        <f t="shared" ref="I91:O91" si="22">+I13</f>
        <v>2707865.73</v>
      </c>
      <c r="J91" s="68">
        <f t="shared" si="22"/>
        <v>4980728.6099999994</v>
      </c>
      <c r="K91" s="68">
        <f t="shared" si="22"/>
        <v>2162029.59</v>
      </c>
      <c r="L91" s="68">
        <f t="shared" si="22"/>
        <v>1914237.94</v>
      </c>
      <c r="M91" s="68">
        <f t="shared" si="22"/>
        <v>1914237.94</v>
      </c>
      <c r="N91" s="68">
        <f t="shared" si="22"/>
        <v>1877643.52</v>
      </c>
      <c r="O91" s="68">
        <f t="shared" si="22"/>
        <v>3066490.6699999995</v>
      </c>
    </row>
    <row r="92" spans="7:15" ht="14.25" hidden="1"/>
    <row r="93" spans="7:15" ht="14.25" hidden="1"/>
    <row r="94" spans="7:15" ht="14.25" hidden="1">
      <c r="H94" s="68">
        <f>+H14+H15+H16+H19+H20+H21+H22+H27+H24+H25+H26+H28+H29</f>
        <v>70500908.960000008</v>
      </c>
      <c r="I94" s="68">
        <f t="shared" ref="I94:O94" si="23">+I14+I15+I16+I19+I20+I21+I22+I27+I24+I25+I26+I28+I29</f>
        <v>81244092.25999999</v>
      </c>
      <c r="J94" s="68">
        <f t="shared" si="23"/>
        <v>151745001.22000003</v>
      </c>
      <c r="K94" s="68">
        <f t="shared" si="23"/>
        <v>68870101.420000002</v>
      </c>
      <c r="L94" s="68">
        <f t="shared" si="23"/>
        <v>56746313.770000011</v>
      </c>
      <c r="M94" s="68">
        <f t="shared" si="23"/>
        <v>56746313.770000011</v>
      </c>
      <c r="N94" s="68">
        <f t="shared" si="23"/>
        <v>56277691.660000004</v>
      </c>
      <c r="O94" s="68">
        <f t="shared" si="23"/>
        <v>94998687.449999988</v>
      </c>
    </row>
    <row r="95" spans="7:15" ht="14.25" hidden="1"/>
    <row r="96" spans="7:15" ht="14.25" hidden="1">
      <c r="H96" s="68">
        <f>+H10+H11+H12+H17+H18+H23+H30</f>
        <v>56189364.860000007</v>
      </c>
      <c r="I96" s="68">
        <f t="shared" ref="I96:O96" si="24">+I10+I11+I12+I17+I18+I23+I30</f>
        <v>18217983.439999998</v>
      </c>
      <c r="J96" s="68">
        <f t="shared" si="24"/>
        <v>74407348.300000012</v>
      </c>
      <c r="K96" s="68">
        <f t="shared" si="24"/>
        <v>35167923.57</v>
      </c>
      <c r="L96" s="68">
        <f t="shared" si="24"/>
        <v>16280233.73</v>
      </c>
      <c r="M96" s="68">
        <f t="shared" si="24"/>
        <v>16280232.93</v>
      </c>
      <c r="N96" s="68">
        <f t="shared" si="24"/>
        <v>15203535.309999999</v>
      </c>
      <c r="O96" s="68">
        <f t="shared" si="24"/>
        <v>58127114.570000008</v>
      </c>
    </row>
    <row r="97" spans="8:15" ht="14.25" hidden="1"/>
    <row r="98" spans="8:15" ht="14.25" hidden="1">
      <c r="H98" s="68">
        <f>+H91+H94+H96</f>
        <v>128963136.70000002</v>
      </c>
      <c r="I98" s="68">
        <f t="shared" ref="I98:O98" si="25">+I91+I94+I96</f>
        <v>102169941.42999999</v>
      </c>
      <c r="J98" s="68">
        <f t="shared" si="25"/>
        <v>231133078.13000005</v>
      </c>
      <c r="K98" s="68">
        <f t="shared" si="25"/>
        <v>106200054.58000001</v>
      </c>
      <c r="L98" s="68">
        <f t="shared" si="25"/>
        <v>74940785.440000013</v>
      </c>
      <c r="M98" s="68">
        <f t="shared" si="25"/>
        <v>74940784.640000015</v>
      </c>
      <c r="N98" s="68">
        <f t="shared" si="25"/>
        <v>73358870.49000001</v>
      </c>
      <c r="O98" s="68">
        <f t="shared" si="25"/>
        <v>156192292.69</v>
      </c>
    </row>
    <row r="99" spans="8:15" ht="14.25" hidden="1">
      <c r="H99" s="68">
        <f>+H32-H98</f>
        <v>0</v>
      </c>
      <c r="I99" s="68">
        <f t="shared" ref="I99:O99" si="26">+I32-I98</f>
        <v>0</v>
      </c>
      <c r="J99" s="68">
        <f t="shared" si="26"/>
        <v>0</v>
      </c>
      <c r="K99" s="68">
        <f t="shared" si="26"/>
        <v>0</v>
      </c>
      <c r="L99" s="68">
        <f t="shared" si="26"/>
        <v>0</v>
      </c>
      <c r="M99" s="68">
        <f t="shared" si="26"/>
        <v>0</v>
      </c>
      <c r="N99" s="68">
        <f t="shared" si="26"/>
        <v>0</v>
      </c>
      <c r="O99" s="68">
        <f t="shared" si="26"/>
        <v>0</v>
      </c>
    </row>
    <row r="100" spans="8:15" ht="14.25" hidden="1"/>
  </sheetData>
  <mergeCells count="14">
    <mergeCell ref="P7:Q7"/>
    <mergeCell ref="C32:D32"/>
    <mergeCell ref="P32:Q32"/>
    <mergeCell ref="H38:O38"/>
    <mergeCell ref="H39:O39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2017-09-13T17:55:38Z</dcterms:created>
  <dcterms:modified xsi:type="dcterms:W3CDTF">2017-09-13T17:56:05Z</dcterms:modified>
</cp:coreProperties>
</file>